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tabRatio="597" firstSheet="2" activeTab="2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ДДС!$A$6:$L$50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S12" i="2"/>
  <c r="R12" i="2"/>
  <c r="T12" i="2" s="1"/>
  <c r="U12" i="2" s="1"/>
  <c r="N12" i="2"/>
  <c r="S11" i="2"/>
  <c r="R11" i="2"/>
  <c r="N11" i="2"/>
  <c r="O11" i="2" s="1"/>
  <c r="J11" i="2"/>
  <c r="I11" i="2"/>
  <c r="J13" i="1"/>
  <c r="I13" i="1"/>
  <c r="K9" i="6"/>
  <c r="K10" i="6"/>
  <c r="K12" i="6" s="1"/>
  <c r="K11" i="6"/>
  <c r="K13" i="6" s="1"/>
  <c r="P11" i="2" l="1"/>
  <c r="T11" i="2"/>
  <c r="U11" i="2" s="1"/>
  <c r="J9" i="6"/>
  <c r="J10" i="6"/>
  <c r="J12" i="6" s="1"/>
  <c r="J11" i="6"/>
  <c r="J13" i="6" s="1"/>
  <c r="I12" i="1"/>
  <c r="K12" i="1" s="1"/>
  <c r="S10" i="2"/>
  <c r="R10" i="2"/>
  <c r="T10" i="2" s="1"/>
  <c r="U10" i="2" s="1"/>
  <c r="N10" i="2"/>
  <c r="S9" i="2"/>
  <c r="R9" i="2"/>
  <c r="N9" i="2"/>
  <c r="O9" i="2" s="1"/>
  <c r="J9" i="2"/>
  <c r="I9" i="2"/>
  <c r="J10" i="1"/>
  <c r="I10" i="1"/>
  <c r="P9" i="2" l="1"/>
  <c r="T9" i="2"/>
  <c r="U9" i="2" s="1"/>
  <c r="I9" i="6" l="1"/>
  <c r="I10" i="6"/>
  <c r="I11" i="6"/>
  <c r="I13" i="6" s="1"/>
  <c r="I12" i="6"/>
  <c r="S30" i="2"/>
  <c r="I30" i="2"/>
  <c r="N30" i="2" s="1"/>
  <c r="S8" i="2"/>
  <c r="R8" i="2"/>
  <c r="J8" i="2"/>
  <c r="I8" i="2"/>
  <c r="N8" i="2" s="1"/>
  <c r="O8" i="2" s="1"/>
  <c r="I9" i="1"/>
  <c r="K9" i="1" s="1"/>
  <c r="I8" i="1"/>
  <c r="K8" i="1" s="1"/>
  <c r="J30" i="2" l="1"/>
  <c r="O30" i="2" s="1"/>
  <c r="P30" i="2" s="1"/>
  <c r="R30" i="2"/>
  <c r="P8" i="2"/>
  <c r="T8" i="2"/>
  <c r="U8" i="2" s="1"/>
  <c r="T30" i="2" l="1"/>
  <c r="U30" i="2" s="1"/>
  <c r="H9" i="6"/>
  <c r="H10" i="6"/>
  <c r="H12" i="6" s="1"/>
  <c r="H11" i="6"/>
  <c r="H13" i="6" s="1"/>
  <c r="G9" i="6" l="1"/>
  <c r="G10" i="6"/>
  <c r="G11" i="6"/>
  <c r="G13" i="6" s="1"/>
  <c r="G12" i="6"/>
  <c r="F9" i="6" l="1"/>
  <c r="F10" i="6"/>
  <c r="F12" i="6" s="1"/>
  <c r="F11" i="6"/>
  <c r="F13" i="6"/>
  <c r="E10" i="6" l="1"/>
  <c r="E11" i="6"/>
  <c r="D11" i="6"/>
  <c r="D10" i="6"/>
  <c r="E9" i="6"/>
  <c r="D9" i="6"/>
  <c r="E13" i="6" l="1"/>
  <c r="E12" i="6"/>
  <c r="AV47" i="6"/>
  <c r="AV48" i="6"/>
  <c r="AV49" i="6"/>
  <c r="AU47" i="6" l="1"/>
  <c r="AU48" i="6"/>
  <c r="AU49" i="6"/>
  <c r="AV51" i="6" l="1"/>
  <c r="AU50" i="6"/>
  <c r="AV50" i="6"/>
  <c r="AT47" i="6"/>
  <c r="AT48" i="6"/>
  <c r="AT49" i="6"/>
  <c r="AU51" i="6" l="1"/>
  <c r="AS47" i="6"/>
  <c r="AS48" i="6"/>
  <c r="AT50" i="6" s="1"/>
  <c r="AS49" i="6"/>
  <c r="AT51" i="6" s="1"/>
  <c r="AR47" i="6" l="1"/>
  <c r="AR48" i="6"/>
  <c r="AS50" i="6" s="1"/>
  <c r="AR49" i="6"/>
  <c r="AS51" i="6" s="1"/>
  <c r="AQ47" i="6" l="1"/>
  <c r="AQ48" i="6"/>
  <c r="AQ49" i="6"/>
  <c r="AR51" i="6" s="1"/>
  <c r="AR50" i="6" l="1"/>
  <c r="AP47" i="6"/>
  <c r="AP48" i="6"/>
  <c r="AP49" i="6"/>
  <c r="AQ51" i="6" l="1"/>
  <c r="AQ50" i="6"/>
  <c r="AO47" i="6"/>
  <c r="AO48" i="6"/>
  <c r="AP50" i="6" s="1"/>
  <c r="AO49" i="6"/>
  <c r="AP51" i="6" l="1"/>
  <c r="AN48" i="6"/>
  <c r="AN47" i="6"/>
  <c r="AN49" i="6"/>
  <c r="AO50" i="6" l="1"/>
  <c r="AO51" i="6"/>
  <c r="AM47" i="6"/>
  <c r="AM48" i="6"/>
  <c r="AM49" i="6"/>
  <c r="AN51" i="6" l="1"/>
  <c r="AN50" i="6"/>
  <c r="AL47" i="6"/>
  <c r="AL48" i="6"/>
  <c r="AL49" i="6"/>
  <c r="AM51" i="6" l="1"/>
  <c r="AM50" i="6"/>
  <c r="AK47" i="6"/>
  <c r="AK48" i="6"/>
  <c r="AL50" i="6" s="1"/>
  <c r="AK49" i="6"/>
  <c r="AL51" i="6" l="1"/>
  <c r="AJ47" i="6"/>
  <c r="AJ48" i="6"/>
  <c r="AK50" i="6" s="1"/>
  <c r="AJ49" i="6"/>
  <c r="AK51" i="6" s="1"/>
  <c r="AI48" i="6" l="1"/>
  <c r="AI47" i="6"/>
  <c r="AI49" i="6"/>
  <c r="AJ50" i="6" l="1"/>
  <c r="AJ51" i="6"/>
  <c r="AH47" i="6"/>
  <c r="AH48" i="6"/>
  <c r="AH49" i="6"/>
  <c r="AI51" i="6" l="1"/>
  <c r="AH50" i="6"/>
  <c r="AI50" i="6"/>
  <c r="AG47" i="6"/>
  <c r="AG48" i="6"/>
  <c r="AG49" i="6"/>
  <c r="AH51" i="6" l="1"/>
  <c r="AF47" i="6"/>
  <c r="AF48" i="6"/>
  <c r="AG50" i="6" s="1"/>
  <c r="AF49" i="6"/>
  <c r="AG51" i="6" l="1"/>
  <c r="AE47" i="6"/>
  <c r="AE48" i="6"/>
  <c r="AF50" i="6" s="1"/>
  <c r="AE49" i="6"/>
  <c r="AF51" i="6" s="1"/>
  <c r="AD47" i="6" l="1"/>
  <c r="AD48" i="6"/>
  <c r="AD49" i="6"/>
  <c r="AE51" i="6" s="1"/>
  <c r="AE50" i="6" l="1"/>
  <c r="AC47" i="6"/>
  <c r="AC48" i="6"/>
  <c r="AC49" i="6"/>
  <c r="AD51" i="6" s="1"/>
  <c r="AD50" i="6" l="1"/>
  <c r="AB47" i="6"/>
  <c r="AB48" i="6"/>
  <c r="AC50" i="6" s="1"/>
  <c r="AB49" i="6"/>
  <c r="AC51" i="6" s="1"/>
  <c r="AA47" i="6" l="1"/>
  <c r="AA48" i="6"/>
  <c r="AB50" i="6" s="1"/>
  <c r="AA49" i="6"/>
  <c r="AB51" i="6" s="1"/>
  <c r="Z47" i="6" l="1"/>
  <c r="Z48" i="6"/>
  <c r="Z49" i="6"/>
  <c r="AA50" i="6" l="1"/>
  <c r="AA51" i="6"/>
  <c r="Y47" i="6"/>
  <c r="Y48" i="6"/>
  <c r="Y49" i="6"/>
  <c r="Z51" i="6" l="1"/>
  <c r="Z50" i="6"/>
  <c r="X47" i="6"/>
  <c r="X48" i="6"/>
  <c r="Y50" i="6" s="1"/>
  <c r="X49" i="6"/>
  <c r="Y51" i="6" s="1"/>
  <c r="W47" i="6" l="1"/>
  <c r="W48" i="6"/>
  <c r="W49" i="6"/>
  <c r="X50" i="6" l="1"/>
  <c r="X51" i="6"/>
  <c r="V47" i="6"/>
  <c r="V48" i="6"/>
  <c r="V49" i="6"/>
  <c r="W50" i="6" l="1"/>
  <c r="W51" i="6"/>
  <c r="U47" i="6"/>
  <c r="U48" i="6"/>
  <c r="U49" i="6"/>
  <c r="V51" i="6" l="1"/>
  <c r="V50" i="6"/>
  <c r="T47" i="6"/>
  <c r="T48" i="6"/>
  <c r="U50" i="6" s="1"/>
  <c r="T49" i="6"/>
  <c r="U51" i="6" s="1"/>
  <c r="S47" i="6" l="1"/>
  <c r="S48" i="6"/>
  <c r="S49" i="6"/>
  <c r="T51" i="6" s="1"/>
  <c r="T50" i="6" l="1"/>
  <c r="R47" i="6"/>
  <c r="R48" i="6"/>
  <c r="S50" i="6" s="1"/>
  <c r="R49" i="6"/>
  <c r="S51" i="6" s="1"/>
  <c r="D38" i="5"/>
  <c r="I35" i="5"/>
  <c r="H36" i="5"/>
  <c r="K36" i="5" s="1"/>
  <c r="K35" i="5"/>
  <c r="Q47" i="6" l="1"/>
  <c r="Q48" i="6"/>
  <c r="R50" i="6" s="1"/>
  <c r="Q49" i="6"/>
  <c r="R51" i="6" s="1"/>
  <c r="H15" i="5"/>
  <c r="K15" i="5" s="1"/>
  <c r="I35" i="2"/>
  <c r="J35" i="2" s="1"/>
  <c r="S35" i="2"/>
  <c r="P47" i="6"/>
  <c r="N35" i="2" l="1"/>
  <c r="O35" i="2" s="1"/>
  <c r="R35" i="2"/>
  <c r="P48" i="6"/>
  <c r="P49" i="6"/>
  <c r="I34" i="2"/>
  <c r="J34" i="2" s="1"/>
  <c r="S34" i="2"/>
  <c r="Q50" i="6" l="1"/>
  <c r="Q51" i="6"/>
  <c r="P35" i="2"/>
  <c r="T35" i="2"/>
  <c r="U35" i="2" s="1"/>
  <c r="N34" i="2"/>
  <c r="O34" i="2" s="1"/>
  <c r="P34" i="2" s="1"/>
  <c r="R34" i="2"/>
  <c r="O47" i="6"/>
  <c r="O48" i="6"/>
  <c r="P50" i="6" s="1"/>
  <c r="O49" i="6"/>
  <c r="P51" i="6" s="1"/>
  <c r="T34" i="2" l="1"/>
  <c r="U34" i="2" s="1"/>
  <c r="I31" i="2"/>
  <c r="I32" i="2"/>
  <c r="I33" i="2"/>
  <c r="J33" i="2" s="1"/>
  <c r="N47" i="6"/>
  <c r="N48" i="6"/>
  <c r="O50" i="6" s="1"/>
  <c r="N49" i="6"/>
  <c r="O51" i="6" s="1"/>
  <c r="H18" i="5"/>
  <c r="K18" i="5" s="1"/>
  <c r="S33" i="2"/>
  <c r="R33" i="2" l="1"/>
  <c r="N33" i="2"/>
  <c r="O33" i="2" s="1"/>
  <c r="M47" i="6"/>
  <c r="M48" i="6"/>
  <c r="M49" i="6"/>
  <c r="N50" i="6" l="1"/>
  <c r="N51" i="6"/>
  <c r="P33" i="2"/>
  <c r="T33" i="2"/>
  <c r="U33" i="2" s="1"/>
  <c r="L47" i="6"/>
  <c r="L48" i="6"/>
  <c r="L49" i="6"/>
  <c r="M50" i="6" l="1"/>
  <c r="M51" i="6"/>
  <c r="K47" i="6"/>
  <c r="K48" i="6"/>
  <c r="L50" i="6" s="1"/>
  <c r="K49" i="6"/>
  <c r="L51" i="6" s="1"/>
  <c r="J31" i="2"/>
  <c r="S31" i="2"/>
  <c r="J32" i="2"/>
  <c r="S32" i="2"/>
  <c r="N32" i="2" l="1"/>
  <c r="O32" i="2" s="1"/>
  <c r="R32" i="2"/>
  <c r="N31" i="2"/>
  <c r="O31" i="2" s="1"/>
  <c r="R31" i="2"/>
  <c r="J47" i="6"/>
  <c r="J48" i="6"/>
  <c r="J49" i="6"/>
  <c r="D7" i="5"/>
  <c r="H21" i="5"/>
  <c r="K21" i="5" s="1"/>
  <c r="I20" i="5"/>
  <c r="K51" i="6" l="1"/>
  <c r="K50" i="6"/>
  <c r="T31" i="2"/>
  <c r="U31" i="2" s="1"/>
  <c r="P31" i="2"/>
  <c r="P32" i="2"/>
  <c r="T32" i="2"/>
  <c r="U32" i="2" s="1"/>
  <c r="K20" i="5"/>
  <c r="I47" i="6"/>
  <c r="I48" i="6"/>
  <c r="I49" i="6"/>
  <c r="J50" i="6" l="1"/>
  <c r="J51" i="6"/>
  <c r="H47" i="6"/>
  <c r="H48" i="6"/>
  <c r="H49" i="6"/>
  <c r="I51" i="6" s="1"/>
  <c r="I50" i="6" l="1"/>
  <c r="G47" i="6"/>
  <c r="G48" i="6"/>
  <c r="H50" i="6" s="1"/>
  <c r="G49" i="6"/>
  <c r="H51" i="6" l="1"/>
  <c r="D47" i="6"/>
  <c r="E47" i="6"/>
  <c r="F47" i="6"/>
  <c r="D48" i="6"/>
  <c r="E48" i="6"/>
  <c r="E50" i="6" s="1"/>
  <c r="F48" i="6"/>
  <c r="G50" i="6" s="1"/>
  <c r="D49" i="6"/>
  <c r="E49" i="6"/>
  <c r="F49" i="6"/>
  <c r="F51" i="6" s="1"/>
  <c r="H11" i="5"/>
  <c r="K11" i="5" s="1"/>
  <c r="E51" i="6" l="1"/>
  <c r="F50" i="6"/>
  <c r="G51" i="6"/>
  <c r="N40" i="2" l="1"/>
  <c r="O40" i="2" l="1"/>
  <c r="P40" i="2" s="1"/>
  <c r="J40" i="2"/>
  <c r="Y85" i="6"/>
  <c r="Y86" i="6"/>
  <c r="Y87" i="6"/>
  <c r="T40" i="2" l="1"/>
  <c r="U40" i="2" s="1"/>
  <c r="X85" i="6"/>
  <c r="X86" i="6"/>
  <c r="X87" i="6"/>
  <c r="W85" i="6" l="1"/>
  <c r="W86" i="6"/>
  <c r="W87" i="6"/>
  <c r="V85" i="6" l="1"/>
  <c r="V86" i="6"/>
  <c r="V87" i="6"/>
  <c r="U85" i="6" l="1"/>
  <c r="U86" i="6"/>
  <c r="U87" i="6"/>
  <c r="T85" i="6" l="1"/>
  <c r="T86" i="6"/>
  <c r="T87" i="6"/>
  <c r="S85" i="6" l="1"/>
  <c r="S86" i="6"/>
  <c r="S87" i="6"/>
  <c r="R86" i="6" l="1"/>
  <c r="R87" i="6"/>
  <c r="R85" i="6"/>
  <c r="Q85" i="6"/>
  <c r="Q86" i="6"/>
  <c r="Q87" i="6"/>
  <c r="P86" i="6" l="1"/>
  <c r="P87" i="6"/>
  <c r="P85" i="6"/>
  <c r="I38" i="2"/>
  <c r="N38" i="2" s="1"/>
  <c r="S38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8" i="2" l="1"/>
  <c r="J38" i="2"/>
  <c r="O38" i="2" s="1"/>
  <c r="K48" i="3"/>
  <c r="M33" i="3"/>
  <c r="M48" i="3" s="1"/>
  <c r="O85" i="6"/>
  <c r="O86" i="6"/>
  <c r="O87" i="6"/>
  <c r="T38" i="2" l="1"/>
  <c r="U38" i="2" s="1"/>
  <c r="P38" i="2"/>
  <c r="N86" i="6"/>
  <c r="N87" i="6"/>
  <c r="N85" i="6"/>
  <c r="M85" i="6" l="1"/>
  <c r="M86" i="6"/>
  <c r="M87" i="6"/>
  <c r="I13" i="5"/>
  <c r="H14" i="5"/>
  <c r="K14" i="5" s="1"/>
  <c r="L86" i="6" l="1"/>
  <c r="L87" i="6"/>
  <c r="L85" i="6"/>
  <c r="K86" i="6" l="1"/>
  <c r="K87" i="6"/>
  <c r="K85" i="6"/>
  <c r="I24" i="5"/>
  <c r="H87" i="6" l="1"/>
  <c r="G87" i="6"/>
  <c r="F87" i="6"/>
  <c r="H86" i="6"/>
  <c r="G86" i="6"/>
  <c r="F86" i="6"/>
  <c r="H85" i="6"/>
  <c r="G85" i="6"/>
  <c r="F85" i="6"/>
  <c r="J86" i="6" l="1"/>
  <c r="J87" i="6"/>
  <c r="J85" i="6"/>
  <c r="I86" i="6" l="1"/>
  <c r="I87" i="6"/>
  <c r="I85" i="6"/>
  <c r="D3" i="1" l="1"/>
  <c r="E85" i="6" l="1"/>
  <c r="D85" i="6"/>
  <c r="E87" i="6"/>
  <c r="D87" i="6"/>
  <c r="E86" i="6"/>
  <c r="D8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7" i="1" l="1"/>
  <c r="J7" i="1" s="1"/>
  <c r="J48" i="1" s="1"/>
  <c r="R40" i="2" l="1"/>
  <c r="S40" i="2" s="1"/>
  <c r="K48" i="1"/>
  <c r="K50" i="1" l="1"/>
  <c r="K30" i="5" s="1"/>
  <c r="K38" i="5" s="1"/>
  <c r="L36" i="5" l="1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>
  <authors>
    <author>SONY</author>
  </authors>
  <commentLis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  <comment ref="Q24" authorId="0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  <comment ref="Q30" authorId="0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<sst xmlns="http://schemas.openxmlformats.org/spreadsheetml/2006/main" count="236" uniqueCount="171">
  <si>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</si>
  <si>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</si>
  <si>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</si>
  <si>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</si>
  <si>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</si>
  <si>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</si>
  <si>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</si>
  <si>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</si>
  <si>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</si>
  <si>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</si>
  <si>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</si>
  <si>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</si>
  <si>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</si>
  <si>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</si>
  <si>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</si>
  <si>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</si>
  <si>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</si>
  <si>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</si>
  <si>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</si>
  <si>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</si>
  <si>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</si>
  <si>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</si>
  <si>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</si>
  <si>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</si>
  <si>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</si>
  <si>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</si>
  <si>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</si>
  <si>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</si>
  <si>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</si>
  <si>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</si>
  <si>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</si>
  <si>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</si>
  <si>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</si>
  <si>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</si>
  <si>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</si>
  <si>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</si>
  <si>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</si>
  <si>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</si>
  <si>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</si>
  <si>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</si>
  <si>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</si>
  <si>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</si>
  <si>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</si>
  <si>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</si>
  <si>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</si>
  <si>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</si>
  <si>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</si>
  <si>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</si>
  <si>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</si>
  <si>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</si>
  <si>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</si>
  <si>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</si>
  <si>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</si>
  <si>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</si>
  <si>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</si>
  <si>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</si>
  <si>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</si>
  <si>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</si>
  <si>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</si>
  <si>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</si>
  <si>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</si>
  <si>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</si>
  <si>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</si>
  <si>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</si>
  <si>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</si>
  <si>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</si>
  <si>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</si>
  <si>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</si>
  <si>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</si>
  <si>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</si>
  <si>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</si>
  <si>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</si>
  <si>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</si>
  <si>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</si>
  <si>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</si>
  <si>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</si>
  <si>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</si>
  <si>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</si>
  <si>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</si>
  <si>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</si>
  <si>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</si>
  <si>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</si>
  <si>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</si>
  <si>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</si>
  <si>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</si>
  <si>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</si>
  <si>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</si>
  <si>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</si>
  <si>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</si>
  <si>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</si>
  <si>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</si>
  <si>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</si>
  <si>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</si>
  <si>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</si>
  <si>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</si>
  <si>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</si>
  <si>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</si>
  <si>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</si>
  <si>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</si>
  <si>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</si>
  <si>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</si>
  <si>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</si>
  <si>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</si>
  <si>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</si>
  <si>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</si>
  <si>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</si>
  <si>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</si>
  <si>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</si>
  <si>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</si>
  <si>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</si>
  <si>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</si>
  <si>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</si>
  <si>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</si>
  <si>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</si>
  <si>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</si>
  <si>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</si>
  <si>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</si>
  <si>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</si>
  <si>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</si>
  <si>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</si>
  <si>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</si>
  <si>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</si>
  <si>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</si>
  <si>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</si>
  <si>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</si>
  <si>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</si>
  <si>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</si>
  <si>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</si>
  <si>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</si>
  <si>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</si>
  <si>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</si>
  <si>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</si>
  <si>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</si>
  <si>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Цена покупки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</si>
  <si>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</si>
  <si>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МосОблБанк</t>
  </si>
  <si>
    <t>Прирост стоимости портфеля с 01.01.18, %</t>
  </si>
  <si>
    <t>Магнит</t>
  </si>
  <si>
    <t>Ритейл</t>
  </si>
  <si>
    <t>изменение за неделю Манвал</t>
  </si>
  <si>
    <t>РусГидро</t>
  </si>
  <si>
    <t>Сбербанк (Обыч)</t>
  </si>
  <si>
    <t xml:space="preserve">ШОРТ 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</si>
  <si>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</si>
  <si>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</si>
  <si>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</si>
  <si>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</si>
  <si>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</si>
  <si>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Начальный депозит "Модельного портфеля", равный стоимости  всех акций, находящихся в портфеле Манвал на 31.12.2019  по цене на 31.12.2018.+кеш на балансе.  Начальный депозит на 2019 год равен 3 381 979руб 54 коп</t>
  </si>
  <si>
    <t>Фиксируем переходящий остаток акций с 2018 года по цене закрытия 2018 года (31.12.2018). Условную долю данного пакета акций корректируем в сторону реалного показателя доли данного пакета в общем портфеле на конец 2018г/начало 2019г и округляем до ближайшего целого значения для простоты. Условная доля акций Сбербанк (Обыч) принимается равной 100%.</t>
  </si>
  <si>
    <t>1. Сезон 1 "за 2018 год"</t>
  </si>
  <si>
    <t>2. Сезон 2 "Промежуточные в 2019 году"</t>
  </si>
  <si>
    <t>3. 2017 г  (позапрошлый год)</t>
  </si>
  <si>
    <t>2. 2018 г  (прошедший год)</t>
  </si>
  <si>
    <t>1. 2019 г  (текущий период)</t>
  </si>
  <si>
    <t>Прирост стоимости портфеля с 01.01.19, %</t>
  </si>
  <si>
    <t>Прирост индекса Мосбиржи с 01.01.19, %</t>
  </si>
  <si>
    <t>Продажа</t>
  </si>
  <si>
    <t>Шорт</t>
  </si>
  <si>
    <t>Продажа всего пакета Сбербанк (Обыч) в условной доле 100%, купленного по программе переходящего остатка 31.12.18 по цене 186,3р. Курсовая прибыль +10,4% +дивиденды 0%.  Итого Прибыль +10,4%.</t>
  </si>
  <si>
    <t>Шорт на 100% депо акций Сбербанк (Обыч) на примерно 3 733 545 р с учетом лотности. Итого шорт доли акций Сбербанк (Обыч) в условной доле 100%</t>
  </si>
  <si>
    <t>Откуп шорта</t>
  </si>
  <si>
    <t>Откупаем весь шорт 100% пакета акций Сбербанк (Обыч) по цене 204 руб. Средняя цена при открытии шорта на весь пакет из 1-ой операций равна 205,67 руб. Доход от инвестиции составил 30 310,50руб. Сумма инвестиции в короткую позицию совокупно ( по всему одному траншу) составила 3 732 910,50 руб. Итого итоговая доходнотсь составила 30 310,50/3 732 910,50 *100%= 0,81%  Кеш 100%.</t>
  </si>
  <si>
    <t>Кредитование ( ЦБ)</t>
  </si>
  <si>
    <t>шорт от 04.03.19, откуп 13.03.19, займ  3 732 910,50руб на срок 9 дней, 11% годовых, плата 3 732 910,50*11%/365*9дней=10 125 руб</t>
  </si>
  <si>
    <t>Займ для операций шорт</t>
  </si>
  <si>
    <t>ГМК Норникель</t>
  </si>
  <si>
    <t>Шорт на 100% депо акций ГМК Норникель на примерно 3 753 730 р с учетом лотности. Итого шорт доли акций ГМК Норникель в условной доле 100%</t>
  </si>
  <si>
    <t>Откупаем весь шорт 100% пакета акций ГМК Норникель по цене 14 298 руб. Убыток от инвестиции составил - 97 378 руб. Сумма инвестиции в короткую позицию  составила 3 748 784,00 руб. Итого итоговый убыток составил -97 378/3 748 784 *100%= -2,6%  Кеш 100%.</t>
  </si>
  <si>
    <t>шорт от 13.03.19, откуп 25.03.19, займ  3 748 784руб на срок 12 дней, 11% годовых, плата 3 748 784*11%/365*12дней=13 557 руб</t>
  </si>
  <si>
    <t>Покупаем Сбербанк (Обыч) на все 100% кеша на примерную сумму 3 642 795,54р с учетом лотности.  Условная доля акций Сбербанк (Обыч) принимается равной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</si>
</sst>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_р_."/>
    <numFmt numFmtId="166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9" fontId="7" fillId="3" borderId="36" xfId="0" applyNumberFormat="1" applyFont="1" applyFill="1" applyBorder="1" applyAlignment="1">
      <alignment wrapText="1"/>
    </xf>
    <xf numFmtId="0" fontId="7" fillId="9" borderId="36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6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6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0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1" xfId="0" applyNumberFormat="1" applyFont="1" applyBorder="1" applyAlignment="1">
      <alignment wrapText="1"/>
    </xf>
    <xf numFmtId="164" fontId="28" fillId="0" borderId="33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2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2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2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2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3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0" fontId="8" fillId="2" borderId="41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4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5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3" fillId="0" borderId="46" xfId="0" applyFont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4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wrapText="1"/>
    </xf>
    <xf numFmtId="165" fontId="34" fillId="0" borderId="1" xfId="0" applyNumberFormat="1" applyFont="1" applyBorder="1" applyAlignment="1">
      <alignment wrapText="1"/>
    </xf>
    <xf numFmtId="0" fontId="34" fillId="4" borderId="12" xfId="0" applyFont="1" applyFill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9" fontId="36" fillId="14" borderId="1" xfId="0" applyNumberFormat="1" applyFont="1" applyFill="1" applyBorder="1" applyAlignment="1">
      <alignment wrapText="1"/>
    </xf>
    <xf numFmtId="4" fontId="34" fillId="14" borderId="1" xfId="0" applyNumberFormat="1" applyFont="1" applyFill="1" applyBorder="1" applyAlignment="1">
      <alignment wrapText="1"/>
    </xf>
    <xf numFmtId="10" fontId="34" fillId="14" borderId="12" xfId="0" applyNumberFormat="1" applyFont="1" applyFill="1" applyBorder="1" applyAlignment="1">
      <alignment wrapText="1"/>
    </xf>
    <xf numFmtId="10" fontId="5" fillId="13" borderId="32" xfId="0" applyNumberFormat="1" applyFont="1" applyFill="1" applyBorder="1" applyAlignment="1">
      <alignment wrapText="1"/>
    </xf>
    <xf numFmtId="10" fontId="5" fillId="13" borderId="42" xfId="0" applyNumberFormat="1" applyFont="1" applyFill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NumberFormat="1" applyFont="1" applyBorder="1" applyAlignment="1">
      <alignment wrapText="1"/>
    </xf>
    <xf numFmtId="165" fontId="37" fillId="0" borderId="1" xfId="0" applyNumberFormat="1" applyFont="1" applyBorder="1" applyAlignment="1">
      <alignment wrapText="1"/>
    </xf>
    <xf numFmtId="0" fontId="37" fillId="4" borderId="12" xfId="0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4" fontId="41" fillId="0" borderId="11" xfId="0" applyNumberFormat="1" applyFont="1" applyBorder="1" applyAlignment="1">
      <alignment wrapText="1"/>
    </xf>
    <xf numFmtId="4" fontId="41" fillId="0" borderId="42" xfId="0" applyNumberFormat="1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40" fillId="0" borderId="43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0" fontId="42" fillId="0" borderId="0" xfId="0" applyNumberFormat="1" applyFont="1" applyAlignment="1">
      <alignment wrapText="1"/>
    </xf>
    <xf numFmtId="0" fontId="37" fillId="0" borderId="11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0" fontId="13" fillId="4" borderId="12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8" fillId="2" borderId="46" xfId="0" applyFont="1" applyFill="1" applyBorder="1" applyAlignment="1">
      <alignment wrapText="1"/>
    </xf>
    <xf numFmtId="0" fontId="8" fillId="2" borderId="47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33" fillId="0" borderId="11" xfId="0" applyFont="1" applyBorder="1" applyAlignment="1">
      <alignment wrapText="1"/>
    </xf>
    <xf numFmtId="0" fontId="33" fillId="4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33" fillId="0" borderId="1" xfId="0" applyNumberFormat="1" applyFont="1" applyBorder="1" applyAlignment="1">
      <alignment wrapText="1"/>
    </xf>
    <xf numFmtId="165" fontId="33" fillId="0" borderId="1" xfId="0" applyNumberFormat="1" applyFont="1" applyBorder="1" applyAlignment="1">
      <alignment wrapText="1"/>
    </xf>
    <xf numFmtId="0" fontId="33" fillId="0" borderId="12" xfId="0" applyFont="1" applyBorder="1" applyAlignment="1">
      <alignment wrapText="1"/>
    </xf>
    <xf numFmtId="0" fontId="33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164" fontId="28" fillId="0" borderId="48" xfId="0" applyNumberFormat="1" applyFont="1" applyBorder="1" applyAlignment="1">
      <alignment wrapText="1"/>
    </xf>
    <xf numFmtId="4" fontId="40" fillId="0" borderId="49" xfId="0" applyNumberFormat="1" applyFont="1" applyBorder="1" applyAlignment="1">
      <alignment wrapText="1"/>
    </xf>
    <xf numFmtId="4" fontId="27" fillId="0" borderId="49" xfId="0" applyNumberFormat="1" applyFont="1" applyBorder="1" applyAlignment="1">
      <alignment wrapText="1"/>
    </xf>
    <xf numFmtId="164" fontId="28" fillId="13" borderId="49" xfId="0" applyNumberFormat="1" applyFont="1" applyFill="1" applyBorder="1" applyAlignment="1">
      <alignment wrapText="1"/>
    </xf>
    <xf numFmtId="10" fontId="28" fillId="13" borderId="49" xfId="0" applyNumberFormat="1" applyFont="1" applyFill="1" applyBorder="1" applyAlignment="1">
      <alignment wrapText="1"/>
    </xf>
    <xf numFmtId="10" fontId="28" fillId="13" borderId="50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40" fontId="0" fillId="0" borderId="1" xfId="0" applyNumberFormat="1" applyFill="1" applyBorder="1" applyAlignment="1">
      <alignment wrapText="1"/>
    </xf>
    <xf numFmtId="10" fontId="0" fillId="0" borderId="1" xfId="0" applyNumberForma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10" fontId="0" fillId="0" borderId="12" xfId="0" applyNumberFormat="1" applyFill="1" applyBorder="1" applyAlignment="1">
      <alignment wrapText="1"/>
    </xf>
    <xf numFmtId="164" fontId="9" fillId="0" borderId="31" xfId="0" applyNumberFormat="1" applyFont="1" applyBorder="1" applyAlignment="1">
      <alignment wrapText="1"/>
    </xf>
    <xf numFmtId="0" fontId="3" fillId="0" borderId="47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8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39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Аналитика!$C$86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Аналитика!$D$85:$Y$85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Аналитика!$D$86:$Y$86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Аналитика!$C$87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Аналитика!$D$85:$Y$85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Аналитика!$D$87:$Y$87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220032"/>
        <c:axId val="196221568"/>
      </c:lineChart>
      <c:catAx>
        <c:axId val="19622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21568"/>
        <c:crosses val="autoZero"/>
        <c:auto val="0"/>
        <c:lblAlgn val="ctr"/>
        <c:lblOffset val="100"/>
        <c:noMultiLvlLbl val="0"/>
      </c:catAx>
      <c:valAx>
        <c:axId val="1962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200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Аналитика!$C$48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Аналитика!$D$47:$AV$47</c:f>
              <c:numCache>
                <c:formatCode>dd/mm/yy;@</c:formatCode>
                <c:ptCount val="45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  <c:pt idx="38">
                  <c:v>43399</c:v>
                </c:pt>
                <c:pt idx="39">
                  <c:v>43406</c:v>
                </c:pt>
                <c:pt idx="40">
                  <c:v>43413</c:v>
                </c:pt>
                <c:pt idx="41">
                  <c:v>43420</c:v>
                </c:pt>
                <c:pt idx="42">
                  <c:v>43434</c:v>
                </c:pt>
                <c:pt idx="43">
                  <c:v>43448</c:v>
                </c:pt>
                <c:pt idx="44">
                  <c:v>43465</c:v>
                </c:pt>
              </c:numCache>
            </c:numRef>
          </c:xVal>
          <c:yVal>
            <c:numRef>
              <c:f>Аналитика!$D$48:$AV$48</c:f>
              <c:numCache>
                <c:formatCode>0.00%</c:formatCode>
                <c:ptCount val="45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  <c:pt idx="31">
                  <c:v>0.18592096106677491</c:v>
                </c:pt>
                <c:pt idx="32">
                  <c:v>0.21824113129207934</c:v>
                </c:pt>
                <c:pt idx="33">
                  <c:v>0.15537612413553648</c:v>
                </c:pt>
                <c:pt idx="34">
                  <c:v>8.8869407657832022E-2</c:v>
                </c:pt>
                <c:pt idx="35">
                  <c:v>0.1622498504792278</c:v>
                </c:pt>
                <c:pt idx="36">
                  <c:v>0.1410824150499792</c:v>
                </c:pt>
                <c:pt idx="37">
                  <c:v>0.17772711509416239</c:v>
                </c:pt>
                <c:pt idx="38">
                  <c:v>0.19047309771822629</c:v>
                </c:pt>
                <c:pt idx="39">
                  <c:v>0.13766831256139067</c:v>
                </c:pt>
                <c:pt idx="40">
                  <c:v>0.1233290821093187</c:v>
                </c:pt>
                <c:pt idx="41">
                  <c:v>0.10735108246272462</c:v>
                </c:pt>
                <c:pt idx="42">
                  <c:v>0.13129532124935861</c:v>
                </c:pt>
                <c:pt idx="43">
                  <c:v>3.2570396255806378E-2</c:v>
                </c:pt>
                <c:pt idx="44">
                  <c:v>4.0218447195445872E-2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Аналитика!$C$49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Аналитика!$D$47:$AV$47</c:f>
              <c:numCache>
                <c:formatCode>dd/mm/yy;@</c:formatCode>
                <c:ptCount val="45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  <c:pt idx="38">
                  <c:v>43399</c:v>
                </c:pt>
                <c:pt idx="39">
                  <c:v>43406</c:v>
                </c:pt>
                <c:pt idx="40">
                  <c:v>43413</c:v>
                </c:pt>
                <c:pt idx="41">
                  <c:v>43420</c:v>
                </c:pt>
                <c:pt idx="42">
                  <c:v>43434</c:v>
                </c:pt>
                <c:pt idx="43">
                  <c:v>43448</c:v>
                </c:pt>
                <c:pt idx="44">
                  <c:v>43465</c:v>
                </c:pt>
              </c:numCache>
            </c:numRef>
          </c:xVal>
          <c:yVal>
            <c:numRef>
              <c:f>Аналитика!$D$49:$AV$49</c:f>
              <c:numCache>
                <c:formatCode>0.00%</c:formatCode>
                <c:ptCount val="45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  <c:pt idx="31">
                  <c:v>0.11191426431693019</c:v>
                </c:pt>
                <c:pt idx="32">
                  <c:v>0.10052423521381804</c:v>
                </c:pt>
                <c:pt idx="33">
                  <c:v>0.11874448984235042</c:v>
                </c:pt>
                <c:pt idx="34">
                  <c:v>0.17330097547565115</c:v>
                </c:pt>
                <c:pt idx="35">
                  <c:v>0.16170712978850488</c:v>
                </c:pt>
                <c:pt idx="36">
                  <c:v>0.13901239015234124</c:v>
                </c:pt>
                <c:pt idx="37">
                  <c:v>0.1114118327376834</c:v>
                </c:pt>
                <c:pt idx="38">
                  <c:v>8.6968062415273995E-2</c:v>
                </c:pt>
                <c:pt idx="39">
                  <c:v>0.12712940931109995</c:v>
                </c:pt>
                <c:pt idx="40">
                  <c:v>0.13922568657749301</c:v>
                </c:pt>
                <c:pt idx="41">
                  <c:v>0.12462673125598434</c:v>
                </c:pt>
                <c:pt idx="42">
                  <c:v>0.13402599372434532</c:v>
                </c:pt>
                <c:pt idx="43">
                  <c:v>0.12131826670585011</c:v>
                </c:pt>
                <c:pt idx="44">
                  <c:v>0.12304359778930118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6486656"/>
        <c:axId val="196488192"/>
      </c:scatterChart>
      <c:valAx>
        <c:axId val="19648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88192"/>
        <c:crosses val="autoZero"/>
        <c:crossBetween val="midCat"/>
      </c:valAx>
      <c:valAx>
        <c:axId val="19648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8665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marker>
            <c:symbol val="none"/>
          </c:marker>
          <c:xVal>
            <c:numRef>
              <c:f>Аналитика!$D$9:$AV$9</c:f>
              <c:numCache>
                <c:formatCode>dd/mm/yy;@</c:formatCode>
                <c:ptCount val="45"/>
                <c:pt idx="0">
                  <c:v>43465</c:v>
                </c:pt>
                <c:pt idx="1">
                  <c:v>43476</c:v>
                </c:pt>
                <c:pt idx="2">
                  <c:v>43483</c:v>
                </c:pt>
                <c:pt idx="3">
                  <c:v>43504</c:v>
                </c:pt>
                <c:pt idx="4">
                  <c:v>43511</c:v>
                </c:pt>
                <c:pt idx="5">
                  <c:v>43531</c:v>
                </c:pt>
                <c:pt idx="6">
                  <c:v>43539</c:v>
                </c:pt>
                <c:pt idx="7">
                  <c:v>43553</c:v>
                </c:pt>
              </c:numCache>
            </c:numRef>
          </c:xVal>
          <c:yVal>
            <c:numRef>
              <c:f>Аналитика!$D$10:$AV$10</c:f>
              <c:numCache>
                <c:formatCode>0.00%</c:formatCode>
                <c:ptCount val="45"/>
                <c:pt idx="0">
                  <c:v>0</c:v>
                </c:pt>
                <c:pt idx="1">
                  <c:v>5.6350133921862833E-2</c:v>
                </c:pt>
                <c:pt idx="2">
                  <c:v>0.11881828238381353</c:v>
                </c:pt>
                <c:pt idx="3">
                  <c:v>0.12949797443186184</c:v>
                </c:pt>
                <c:pt idx="4">
                  <c:v>0.11645694343851654</c:v>
                </c:pt>
                <c:pt idx="5">
                  <c:v>0.11318326899162723</c:v>
                </c:pt>
                <c:pt idx="6">
                  <c:v>8.6854753710307708E-2</c:v>
                </c:pt>
                <c:pt idx="7">
                  <c:v>8.4299149840510124E-2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marker>
            <c:symbol val="none"/>
          </c:marker>
          <c:xVal>
            <c:numRef>
              <c:f>Аналитика!$D$9:$AV$9</c:f>
              <c:numCache>
                <c:formatCode>dd/mm/yy;@</c:formatCode>
                <c:ptCount val="45"/>
                <c:pt idx="0">
                  <c:v>43465</c:v>
                </c:pt>
                <c:pt idx="1">
                  <c:v>43476</c:v>
                </c:pt>
                <c:pt idx="2">
                  <c:v>43483</c:v>
                </c:pt>
                <c:pt idx="3">
                  <c:v>43504</c:v>
                </c:pt>
                <c:pt idx="4">
                  <c:v>43511</c:v>
                </c:pt>
                <c:pt idx="5">
                  <c:v>43531</c:v>
                </c:pt>
                <c:pt idx="6">
                  <c:v>43539</c:v>
                </c:pt>
                <c:pt idx="7">
                  <c:v>43553</c:v>
                </c:pt>
              </c:numCache>
            </c:numRef>
          </c:xVal>
          <c:yVal>
            <c:numRef>
              <c:f>Аналитика!$D$11:$AV$11</c:f>
              <c:numCache>
                <c:formatCode>0.00%</c:formatCode>
                <c:ptCount val="45"/>
                <c:pt idx="0">
                  <c:v>0</c:v>
                </c:pt>
                <c:pt idx="1">
                  <c:v>3.1705165595337093E-2</c:v>
                </c:pt>
                <c:pt idx="2">
                  <c:v>4.4012442336019086E-2</c:v>
                </c:pt>
                <c:pt idx="3">
                  <c:v>5.6340822088944975E-2</c:v>
                </c:pt>
                <c:pt idx="4">
                  <c:v>5.0997539388772273E-2</c:v>
                </c:pt>
                <c:pt idx="5">
                  <c:v>4.5291284878003379E-2</c:v>
                </c:pt>
                <c:pt idx="6">
                  <c:v>4.5329270300042745E-2</c:v>
                </c:pt>
                <c:pt idx="7">
                  <c:v>5.3926637488235007E-2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6536960"/>
        <c:axId val="196542848"/>
      </c:scatterChart>
      <c:valAx>
        <c:axId val="1965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42848"/>
        <c:crosses val="autoZero"/>
        <c:crossBetween val="midCat"/>
      </c:valAx>
      <c:valAx>
        <c:axId val="1965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3696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71396026499557E-2"/>
          <c:y val="0.18685672911575707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57150"/>
          </c:spPr>
          <c:marker>
            <c:symbol val="none"/>
          </c:marker>
          <c:xVal>
            <c:numRef>
              <c:f>Аналитика!$D$9:$AV$9</c:f>
              <c:numCache>
                <c:formatCode>dd/mm/yy;@</c:formatCode>
                <c:ptCount val="45"/>
                <c:pt idx="0">
                  <c:v>43465</c:v>
                </c:pt>
                <c:pt idx="1">
                  <c:v>43476</c:v>
                </c:pt>
                <c:pt idx="2">
                  <c:v>43483</c:v>
                </c:pt>
                <c:pt idx="3">
                  <c:v>43504</c:v>
                </c:pt>
                <c:pt idx="4">
                  <c:v>43511</c:v>
                </c:pt>
                <c:pt idx="5">
                  <c:v>43531</c:v>
                </c:pt>
                <c:pt idx="6">
                  <c:v>43539</c:v>
                </c:pt>
                <c:pt idx="7">
                  <c:v>43553</c:v>
                </c:pt>
              </c:numCache>
            </c:numRef>
          </c:xVal>
          <c:yVal>
            <c:numRef>
              <c:f>Аналитика!$D$10:$AV$10</c:f>
              <c:numCache>
                <c:formatCode>0.00%</c:formatCode>
                <c:ptCount val="45"/>
                <c:pt idx="0">
                  <c:v>0</c:v>
                </c:pt>
                <c:pt idx="1">
                  <c:v>5.6350133921862833E-2</c:v>
                </c:pt>
                <c:pt idx="2">
                  <c:v>0.11881828238381353</c:v>
                </c:pt>
                <c:pt idx="3">
                  <c:v>0.12949797443186184</c:v>
                </c:pt>
                <c:pt idx="4">
                  <c:v>0.11645694343851654</c:v>
                </c:pt>
                <c:pt idx="5">
                  <c:v>0.11318326899162723</c:v>
                </c:pt>
                <c:pt idx="6">
                  <c:v>8.6854753710307708E-2</c:v>
                </c:pt>
                <c:pt idx="7">
                  <c:v>8.4299149840510124E-2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6573056"/>
        <c:axId val="196574592"/>
      </c:scatterChart>
      <c:valAx>
        <c:axId val="19657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74592"/>
        <c:crosses val="autoZero"/>
        <c:crossBetween val="midCat"/>
      </c:valAx>
      <c:valAx>
        <c:axId val="19657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7305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89</xdr:row>
      <xdr:rowOff>19049</xdr:rowOff>
    </xdr:from>
    <xdr:to>
      <xdr:col>9</xdr:col>
      <xdr:colOff>19051</xdr:colOff>
      <xdr:row>109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51</xdr:row>
      <xdr:rowOff>180975</xdr:rowOff>
    </xdr:from>
    <xdr:to>
      <xdr:col>8</xdr:col>
      <xdr:colOff>838200</xdr:colOff>
      <xdr:row>77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39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53D9903F-BAF7-4518-93E2-437561AD1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813954</xdr:colOff>
      <xdr:row>14</xdr:row>
      <xdr:rowOff>8659</xdr:rowOff>
    </xdr:from>
    <xdr:to>
      <xdr:col>21</xdr:col>
      <xdr:colOff>309129</xdr:colOff>
      <xdr:row>39</xdr:row>
      <xdr:rowOff>36368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53D9903F-BAF7-4518-93E2-437561AD1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2" customFormat="1" ht="26.25" x14ac:dyDescent="0.4">
      <c r="B1" s="212" t="s">
        <v>78</v>
      </c>
    </row>
    <row r="3" spans="1:2" x14ac:dyDescent="0.25">
      <c r="A3" t="s">
        <v>79</v>
      </c>
    </row>
    <row r="4" spans="1:2" x14ac:dyDescent="0.25">
      <c r="A4" t="s">
        <v>80</v>
      </c>
    </row>
    <row r="5" spans="1:2" x14ac:dyDescent="0.25">
      <c r="A5" t="s">
        <v>81</v>
      </c>
    </row>
    <row r="6" spans="1:2" x14ac:dyDescent="0.25">
      <c r="A6" t="s">
        <v>82</v>
      </c>
    </row>
    <row r="7" spans="1:2" x14ac:dyDescent="0.25">
      <c r="A7" t="s">
        <v>83</v>
      </c>
    </row>
    <row r="8" spans="1:2" x14ac:dyDescent="0.25">
      <c r="A8" t="s">
        <v>84</v>
      </c>
    </row>
    <row r="9" spans="1:2" x14ac:dyDescent="0.25">
      <c r="A9" t="s">
        <v>85</v>
      </c>
    </row>
    <row r="10" spans="1:2" x14ac:dyDescent="0.25">
      <c r="A10" t="s">
        <v>86</v>
      </c>
    </row>
    <row r="11" spans="1:2" x14ac:dyDescent="0.25">
      <c r="A11" t="s">
        <v>87</v>
      </c>
    </row>
    <row r="12" spans="1:2" x14ac:dyDescent="0.25">
      <c r="A12" t="s">
        <v>88</v>
      </c>
    </row>
    <row r="13" spans="1:2" x14ac:dyDescent="0.25">
      <c r="A13" t="s">
        <v>89</v>
      </c>
    </row>
    <row r="14" spans="1:2" x14ac:dyDescent="0.25">
      <c r="A14" t="s">
        <v>90</v>
      </c>
    </row>
    <row r="15" spans="1:2" x14ac:dyDescent="0.25">
      <c r="A15" t="s">
        <v>91</v>
      </c>
    </row>
    <row r="16" spans="1:2" x14ac:dyDescent="0.25">
      <c r="A16" t="s">
        <v>92</v>
      </c>
    </row>
    <row r="17" spans="1:4" x14ac:dyDescent="0.25">
      <c r="A17" t="s">
        <v>93</v>
      </c>
    </row>
    <row r="18" spans="1:4" x14ac:dyDescent="0.25">
      <c r="D18" t="s">
        <v>94</v>
      </c>
    </row>
    <row r="19" spans="1:4" x14ac:dyDescent="0.25">
      <c r="D19" t="s">
        <v>95</v>
      </c>
    </row>
    <row r="20" spans="1:4" x14ac:dyDescent="0.25">
      <c r="A20" t="s">
        <v>96</v>
      </c>
    </row>
    <row r="21" spans="1:4" x14ac:dyDescent="0.25">
      <c r="A21" t="s">
        <v>97</v>
      </c>
    </row>
    <row r="22" spans="1:4" x14ac:dyDescent="0.25">
      <c r="A22" t="s">
        <v>98</v>
      </c>
    </row>
    <row r="23" spans="1:4" x14ac:dyDescent="0.25">
      <c r="A23" t="s">
        <v>99</v>
      </c>
    </row>
    <row r="24" spans="1:4" x14ac:dyDescent="0.25">
      <c r="A24" t="s">
        <v>100</v>
      </c>
    </row>
    <row r="25" spans="1:4" x14ac:dyDescent="0.25">
      <c r="A25" t="s">
        <v>101</v>
      </c>
    </row>
    <row r="26" spans="1:4" x14ac:dyDescent="0.25">
      <c r="A26" t="s">
        <v>102</v>
      </c>
    </row>
    <row r="27" spans="1:4" x14ac:dyDescent="0.25">
      <c r="A27" t="s">
        <v>103</v>
      </c>
    </row>
    <row r="28" spans="1:4" x14ac:dyDescent="0.25">
      <c r="A28" t="s">
        <v>104</v>
      </c>
    </row>
    <row r="29" spans="1:4" x14ac:dyDescent="0.25">
      <c r="A29" t="s">
        <v>105</v>
      </c>
    </row>
    <row r="30" spans="1:4" x14ac:dyDescent="0.25">
      <c r="A30" t="s">
        <v>106</v>
      </c>
    </row>
    <row r="31" spans="1:4" x14ac:dyDescent="0.25">
      <c r="A31" t="s">
        <v>107</v>
      </c>
    </row>
    <row r="32" spans="1:4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  <row r="39" spans="1:1" x14ac:dyDescent="0.25">
      <c r="A39" t="s">
        <v>115</v>
      </c>
    </row>
    <row r="40" spans="1:1" x14ac:dyDescent="0.25">
      <c r="A40" t="s">
        <v>116</v>
      </c>
    </row>
    <row r="41" spans="1:1" x14ac:dyDescent="0.25">
      <c r="A41" t="s">
        <v>117</v>
      </c>
    </row>
    <row r="42" spans="1:1" x14ac:dyDescent="0.25">
      <c r="A42" t="s">
        <v>118</v>
      </c>
    </row>
    <row r="43" spans="1:1" x14ac:dyDescent="0.25">
      <c r="A43" t="s">
        <v>119</v>
      </c>
    </row>
    <row r="44" spans="1:1" x14ac:dyDescent="0.25">
      <c r="A44" t="s">
        <v>120</v>
      </c>
    </row>
    <row r="45" spans="1:1" x14ac:dyDescent="0.25">
      <c r="A45" t="s">
        <v>121</v>
      </c>
    </row>
    <row r="46" spans="1:1" x14ac:dyDescent="0.25">
      <c r="A46" t="s">
        <v>122</v>
      </c>
    </row>
    <row r="47" spans="1:1" x14ac:dyDescent="0.25">
      <c r="A47" t="s">
        <v>123</v>
      </c>
    </row>
    <row r="48" spans="1:1" x14ac:dyDescent="0.25">
      <c r="A48" t="s">
        <v>124</v>
      </c>
    </row>
    <row r="50" spans="1:1" x14ac:dyDescent="0.25">
      <c r="A50" t="s">
        <v>125</v>
      </c>
    </row>
    <row r="51" spans="1:1" x14ac:dyDescent="0.25">
      <c r="A51" t="s">
        <v>126</v>
      </c>
    </row>
    <row r="52" spans="1:1" x14ac:dyDescent="0.25">
      <c r="A52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opLeftCell="C19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8" bestFit="1" customWidth="1"/>
    <col min="12" max="12" width="23.85546875" customWidth="1"/>
  </cols>
  <sheetData>
    <row r="1" spans="2:12" s="209" customFormat="1" ht="26.25" x14ac:dyDescent="0.4">
      <c r="C1" s="212" t="s">
        <v>56</v>
      </c>
      <c r="K1" s="213"/>
    </row>
    <row r="2" spans="2:12" s="209" customFormat="1" ht="4.5" customHeight="1" x14ac:dyDescent="0.4">
      <c r="C2" s="212"/>
      <c r="K2" s="213"/>
    </row>
    <row r="3" spans="2:12" x14ac:dyDescent="0.25">
      <c r="C3" s="210" t="s">
        <v>19</v>
      </c>
      <c r="D3" s="211">
        <v>43531</v>
      </c>
    </row>
    <row r="4" spans="2:12" ht="8.25" customHeight="1" thickBot="1" x14ac:dyDescent="0.3"/>
    <row r="5" spans="2:12" s="24" customFormat="1" ht="75.75" thickBot="1" x14ac:dyDescent="0.35">
      <c r="B5" s="25" t="s">
        <v>61</v>
      </c>
      <c r="C5" s="29" t="s">
        <v>59</v>
      </c>
      <c r="D5" s="28" t="s">
        <v>0</v>
      </c>
      <c r="E5" s="29" t="s">
        <v>2</v>
      </c>
      <c r="F5" s="28" t="s">
        <v>6</v>
      </c>
      <c r="G5" s="29" t="s">
        <v>5</v>
      </c>
      <c r="H5" s="28" t="s">
        <v>11</v>
      </c>
      <c r="I5" s="201" t="s">
        <v>67</v>
      </c>
      <c r="J5" s="28" t="s">
        <v>63</v>
      </c>
      <c r="K5" s="202" t="s">
        <v>64</v>
      </c>
      <c r="L5" s="32" t="s">
        <v>66</v>
      </c>
    </row>
    <row r="6" spans="2:12" s="108" customFormat="1" ht="11.25" customHeight="1" x14ac:dyDescent="0.3">
      <c r="B6" s="199"/>
      <c r="C6" s="116"/>
      <c r="D6" s="116"/>
      <c r="E6" s="116"/>
      <c r="F6" s="116"/>
      <c r="G6" s="116"/>
      <c r="H6" s="116"/>
      <c r="I6" s="118"/>
      <c r="J6" s="116"/>
      <c r="K6" s="200"/>
      <c r="L6" s="140"/>
    </row>
    <row r="7" spans="2:12" s="157" customFormat="1" ht="18.75" x14ac:dyDescent="0.3">
      <c r="B7" s="182" t="s">
        <v>62</v>
      </c>
      <c r="C7" s="174"/>
      <c r="D7" s="174">
        <f>D9+D13+D17+D24+D20</f>
        <v>1</v>
      </c>
      <c r="E7" s="174"/>
      <c r="F7" s="174"/>
      <c r="G7" s="174"/>
      <c r="H7" s="174"/>
      <c r="I7" s="175">
        <f>I9+I13+I17+I24+I20</f>
        <v>0</v>
      </c>
      <c r="J7" s="175"/>
      <c r="K7" s="176">
        <f>K9+K13+K17+K24+K20</f>
        <v>3666582</v>
      </c>
      <c r="L7" s="183">
        <f>K7/K$38</f>
        <v>0.99986486786968798</v>
      </c>
    </row>
    <row r="8" spans="2:12" s="156" customFormat="1" ht="9.75" customHeight="1" x14ac:dyDescent="0.3">
      <c r="B8" s="184"/>
      <c r="C8" s="154"/>
      <c r="D8" s="154"/>
      <c r="E8" s="154"/>
      <c r="F8" s="154"/>
      <c r="G8" s="154"/>
      <c r="H8" s="154"/>
      <c r="I8" s="155"/>
      <c r="J8" s="155"/>
      <c r="K8" s="159"/>
      <c r="L8" s="185"/>
    </row>
    <row r="9" spans="2:12" s="158" customFormat="1" ht="15.75" x14ac:dyDescent="0.25">
      <c r="B9" s="186"/>
      <c r="C9" s="170" t="s">
        <v>60</v>
      </c>
      <c r="D9" s="170">
        <v>0</v>
      </c>
      <c r="E9" s="170"/>
      <c r="F9" s="170"/>
      <c r="G9" s="170"/>
      <c r="H9" s="170"/>
      <c r="I9" s="171">
        <f>SUM(I10:I11)</f>
        <v>0</v>
      </c>
      <c r="J9" s="171"/>
      <c r="K9" s="172">
        <f>SUM(K10:K11)</f>
        <v>0</v>
      </c>
      <c r="L9" s="187">
        <f>K9/K$38</f>
        <v>0</v>
      </c>
    </row>
    <row r="10" spans="2:12" s="153" customFormat="1" x14ac:dyDescent="0.25">
      <c r="B10" s="188"/>
      <c r="C10" s="151"/>
      <c r="D10" s="162">
        <v>1</v>
      </c>
      <c r="E10" s="162" t="s">
        <v>10</v>
      </c>
      <c r="F10" s="166">
        <v>100000</v>
      </c>
      <c r="G10" s="162">
        <v>0</v>
      </c>
      <c r="H10" s="162">
        <f t="shared" ref="H10" si="0">G10*F10</f>
        <v>0</v>
      </c>
      <c r="I10" s="169">
        <v>0</v>
      </c>
      <c r="J10" s="162">
        <v>1.0500000000000001E-2</v>
      </c>
      <c r="K10" s="167">
        <f t="shared" ref="K10" si="1">H10*J10</f>
        <v>0</v>
      </c>
      <c r="L10" s="189">
        <f>K10/K$38</f>
        <v>0</v>
      </c>
    </row>
    <row r="11" spans="2:12" s="153" customFormat="1" x14ac:dyDescent="0.25">
      <c r="B11" s="188"/>
      <c r="C11" s="151"/>
      <c r="D11" s="162">
        <v>2</v>
      </c>
      <c r="E11" s="162" t="s">
        <v>140</v>
      </c>
      <c r="F11" s="166">
        <v>1000</v>
      </c>
      <c r="G11" s="162">
        <v>0</v>
      </c>
      <c r="H11" s="162">
        <f t="shared" ref="H11" si="2">G11*F11</f>
        <v>0</v>
      </c>
      <c r="I11" s="169">
        <v>0</v>
      </c>
      <c r="J11" s="162">
        <v>0.73980000000000001</v>
      </c>
      <c r="K11" s="167">
        <f t="shared" ref="K11" si="3">H11*J11</f>
        <v>0</v>
      </c>
      <c r="L11" s="189">
        <f>K11/K$38</f>
        <v>0</v>
      </c>
    </row>
    <row r="12" spans="2:12" s="168" customFormat="1" ht="6.75" customHeight="1" x14ac:dyDescent="0.25">
      <c r="B12" s="190"/>
      <c r="C12" s="45"/>
      <c r="D12" s="45"/>
      <c r="E12" s="45"/>
      <c r="F12" s="163"/>
      <c r="G12" s="45"/>
      <c r="H12" s="45"/>
      <c r="I12" s="164"/>
      <c r="J12" s="45"/>
      <c r="K12" s="165"/>
      <c r="L12" s="185"/>
    </row>
    <row r="13" spans="2:12" s="158" customFormat="1" ht="15.75" x14ac:dyDescent="0.25">
      <c r="B13" s="186"/>
      <c r="C13" s="170" t="s">
        <v>57</v>
      </c>
      <c r="D13" s="173">
        <v>1</v>
      </c>
      <c r="E13" s="170"/>
      <c r="F13" s="170"/>
      <c r="G13" s="170"/>
      <c r="H13" s="170"/>
      <c r="I13" s="171">
        <f>SUM(I14:I15)</f>
        <v>0</v>
      </c>
      <c r="J13" s="171"/>
      <c r="K13" s="172">
        <f>SUM(K14:K15)</f>
        <v>3666582</v>
      </c>
      <c r="L13" s="187">
        <f>K13/K$38</f>
        <v>0.99986486786968798</v>
      </c>
    </row>
    <row r="14" spans="2:12" s="158" customFormat="1" ht="14.25" customHeight="1" x14ac:dyDescent="0.25">
      <c r="B14" s="186"/>
      <c r="C14" s="273"/>
      <c r="D14" s="274">
        <v>3</v>
      </c>
      <c r="E14" s="162" t="s">
        <v>135</v>
      </c>
      <c r="F14" s="162">
        <v>100</v>
      </c>
      <c r="G14" s="162">
        <v>0</v>
      </c>
      <c r="H14" s="162">
        <f t="shared" ref="H14" si="4">G14*F14</f>
        <v>0</v>
      </c>
      <c r="I14" s="169">
        <v>0</v>
      </c>
      <c r="J14" s="162">
        <v>1.69</v>
      </c>
      <c r="K14" s="167">
        <f>H14*J14</f>
        <v>0</v>
      </c>
      <c r="L14" s="189">
        <f>K14/K$38</f>
        <v>0</v>
      </c>
    </row>
    <row r="15" spans="2:12" s="153" customFormat="1" ht="30" x14ac:dyDescent="0.25">
      <c r="B15" s="188"/>
      <c r="C15" s="151"/>
      <c r="D15" s="274">
        <v>4</v>
      </c>
      <c r="E15" s="162" t="s">
        <v>141</v>
      </c>
      <c r="F15" s="162">
        <v>10</v>
      </c>
      <c r="G15" s="162">
        <v>1710</v>
      </c>
      <c r="H15" s="162">
        <f t="shared" ref="H15" si="5">G15*F15</f>
        <v>17100</v>
      </c>
      <c r="I15" s="169">
        <v>0</v>
      </c>
      <c r="J15" s="162">
        <v>214.42</v>
      </c>
      <c r="K15" s="167">
        <f>H15*J15</f>
        <v>3666582</v>
      </c>
      <c r="L15" s="189">
        <f>K15/K$38</f>
        <v>0.99986486786968798</v>
      </c>
    </row>
    <row r="16" spans="2:12" s="153" customFormat="1" ht="8.25" customHeight="1" x14ac:dyDescent="0.25">
      <c r="B16" s="188"/>
      <c r="C16" s="151"/>
      <c r="D16" s="151"/>
      <c r="E16" s="151"/>
      <c r="F16" s="151"/>
      <c r="G16" s="151"/>
      <c r="H16" s="151"/>
      <c r="I16" s="152"/>
      <c r="J16" s="151"/>
      <c r="K16" s="160"/>
      <c r="L16" s="191"/>
    </row>
    <row r="17" spans="2:12" s="158" customFormat="1" ht="15.75" x14ac:dyDescent="0.25">
      <c r="B17" s="186"/>
      <c r="C17" s="170" t="s">
        <v>132</v>
      </c>
      <c r="D17" s="173">
        <v>0</v>
      </c>
      <c r="E17" s="170"/>
      <c r="F17" s="170"/>
      <c r="G17" s="170"/>
      <c r="H17" s="170"/>
      <c r="I17" s="171">
        <f>SUM(I18:I19)</f>
        <v>0</v>
      </c>
      <c r="J17" s="170"/>
      <c r="K17" s="172">
        <f>SUM(K18:K19)</f>
        <v>0</v>
      </c>
      <c r="L17" s="187">
        <f>K17/K$38</f>
        <v>0</v>
      </c>
    </row>
    <row r="18" spans="2:12" s="153" customFormat="1" ht="15" customHeight="1" x14ac:dyDescent="0.25">
      <c r="B18" s="188"/>
      <c r="C18" s="151"/>
      <c r="D18" s="162">
        <v>5</v>
      </c>
      <c r="E18" s="162" t="s">
        <v>131</v>
      </c>
      <c r="F18" s="162">
        <v>100</v>
      </c>
      <c r="G18" s="162">
        <v>0</v>
      </c>
      <c r="H18" s="162">
        <f t="shared" ref="H18" si="6">G18*F18</f>
        <v>0</v>
      </c>
      <c r="I18" s="169">
        <v>0</v>
      </c>
      <c r="J18" s="162">
        <v>149.4</v>
      </c>
      <c r="K18" s="167">
        <f>H18*J18</f>
        <v>0</v>
      </c>
      <c r="L18" s="189">
        <f>K18/K$38</f>
        <v>0</v>
      </c>
    </row>
    <row r="19" spans="2:12" s="153" customFormat="1" x14ac:dyDescent="0.25">
      <c r="B19" s="188"/>
      <c r="C19" s="151"/>
      <c r="D19" s="162"/>
      <c r="E19" s="162"/>
      <c r="F19" s="162"/>
      <c r="G19" s="162"/>
      <c r="H19" s="162"/>
      <c r="I19" s="169"/>
      <c r="J19" s="162"/>
      <c r="K19" s="167"/>
      <c r="L19" s="189"/>
    </row>
    <row r="20" spans="2:12" s="208" customFormat="1" ht="15.75" x14ac:dyDescent="0.25">
      <c r="B20" s="203"/>
      <c r="C20" s="204" t="s">
        <v>138</v>
      </c>
      <c r="D20" s="205">
        <v>0</v>
      </c>
      <c r="E20" s="204"/>
      <c r="F20" s="173"/>
      <c r="G20" s="173"/>
      <c r="H20" s="173"/>
      <c r="I20" s="206">
        <f>SUM(I21:I23)</f>
        <v>0</v>
      </c>
      <c r="J20" s="173"/>
      <c r="K20" s="207">
        <f>SUM(K21:K23)</f>
        <v>0</v>
      </c>
      <c r="L20" s="187">
        <f>K20/K$38</f>
        <v>0</v>
      </c>
    </row>
    <row r="21" spans="2:12" s="153" customFormat="1" x14ac:dyDescent="0.25">
      <c r="B21" s="188"/>
      <c r="C21" s="151"/>
      <c r="D21" s="162">
        <v>6</v>
      </c>
      <c r="E21" s="162" t="s">
        <v>137</v>
      </c>
      <c r="F21" s="162">
        <v>1</v>
      </c>
      <c r="G21" s="162">
        <v>0</v>
      </c>
      <c r="H21" s="162">
        <f t="shared" ref="H21" si="7">G21*F21</f>
        <v>0</v>
      </c>
      <c r="I21" s="169">
        <v>0</v>
      </c>
      <c r="J21" s="162">
        <v>4825</v>
      </c>
      <c r="K21" s="167">
        <f>H21*J21</f>
        <v>0</v>
      </c>
      <c r="L21" s="189">
        <f>K21/K$38</f>
        <v>0</v>
      </c>
    </row>
    <row r="22" spans="2:12" s="153" customFormat="1" x14ac:dyDescent="0.25">
      <c r="B22" s="188"/>
      <c r="C22" s="151"/>
      <c r="D22" s="162"/>
      <c r="E22" s="162"/>
      <c r="F22" s="162"/>
      <c r="G22" s="162"/>
      <c r="H22" s="162"/>
      <c r="I22" s="169"/>
      <c r="J22" s="162"/>
      <c r="K22" s="167"/>
      <c r="L22" s="189"/>
    </row>
    <row r="23" spans="2:12" s="153" customFormat="1" x14ac:dyDescent="0.25">
      <c r="B23" s="188"/>
      <c r="C23" s="151"/>
      <c r="D23" s="162"/>
      <c r="E23" s="162"/>
      <c r="F23" s="162"/>
      <c r="G23" s="162"/>
      <c r="H23" s="162"/>
      <c r="I23" s="169"/>
      <c r="J23" s="162"/>
      <c r="K23" s="167"/>
      <c r="L23" s="189"/>
    </row>
    <row r="24" spans="2:12" s="208" customFormat="1" ht="31.5" x14ac:dyDescent="0.25">
      <c r="B24" s="203"/>
      <c r="C24" s="204" t="s">
        <v>58</v>
      </c>
      <c r="D24" s="205">
        <v>0</v>
      </c>
      <c r="E24" s="204"/>
      <c r="F24" s="173"/>
      <c r="G24" s="173"/>
      <c r="H24" s="173"/>
      <c r="I24" s="206">
        <f>SUM(I25:I28)</f>
        <v>0</v>
      </c>
      <c r="J24" s="173"/>
      <c r="K24" s="207">
        <f>SUM(K25:K28)</f>
        <v>0</v>
      </c>
      <c r="L24" s="187">
        <f>K24/K$38</f>
        <v>0</v>
      </c>
    </row>
    <row r="25" spans="2:12" s="153" customFormat="1" x14ac:dyDescent="0.25">
      <c r="B25" s="188"/>
      <c r="C25" s="151"/>
      <c r="D25" s="162"/>
      <c r="E25" s="162"/>
      <c r="F25" s="162"/>
      <c r="G25" s="162"/>
      <c r="H25" s="162"/>
      <c r="I25" s="169"/>
      <c r="J25" s="162"/>
      <c r="K25" s="167"/>
      <c r="L25" s="189"/>
    </row>
    <row r="26" spans="2:12" s="153" customFormat="1" x14ac:dyDescent="0.25">
      <c r="B26" s="188"/>
      <c r="C26" s="151"/>
      <c r="D26" s="162"/>
      <c r="E26" s="162"/>
      <c r="F26" s="162"/>
      <c r="G26" s="162"/>
      <c r="H26" s="162"/>
      <c r="I26" s="169"/>
      <c r="J26" s="162"/>
      <c r="K26" s="167"/>
      <c r="L26" s="189"/>
    </row>
    <row r="27" spans="2:12" s="153" customFormat="1" x14ac:dyDescent="0.25">
      <c r="B27" s="188"/>
      <c r="C27" s="151"/>
      <c r="D27" s="162"/>
      <c r="E27" s="162"/>
      <c r="F27" s="162"/>
      <c r="G27" s="162"/>
      <c r="H27" s="162"/>
      <c r="I27" s="169"/>
      <c r="J27" s="162"/>
      <c r="K27" s="167"/>
      <c r="L27" s="189"/>
    </row>
    <row r="28" spans="2:12" s="153" customFormat="1" x14ac:dyDescent="0.25">
      <c r="B28" s="188"/>
      <c r="C28" s="151"/>
      <c r="D28" s="162"/>
      <c r="E28" s="162"/>
      <c r="F28" s="162"/>
      <c r="G28" s="162"/>
      <c r="H28" s="162"/>
      <c r="I28" s="169"/>
      <c r="J28" s="162"/>
      <c r="K28" s="167"/>
      <c r="L28" s="189"/>
    </row>
    <row r="29" spans="2:12" s="153" customFormat="1" ht="8.25" customHeight="1" x14ac:dyDescent="0.25">
      <c r="B29" s="188"/>
      <c r="C29" s="151"/>
      <c r="D29" s="45"/>
      <c r="E29" s="45"/>
      <c r="F29" s="45"/>
      <c r="G29" s="45"/>
      <c r="H29" s="45"/>
      <c r="I29" s="226"/>
      <c r="J29" s="45"/>
      <c r="K29" s="165"/>
      <c r="L29" s="185"/>
    </row>
    <row r="30" spans="2:12" s="180" customFormat="1" ht="18.75" x14ac:dyDescent="0.3">
      <c r="B30" s="193" t="s">
        <v>129</v>
      </c>
      <c r="C30" s="177"/>
      <c r="D30" s="177"/>
      <c r="E30" s="177"/>
      <c r="F30" s="177"/>
      <c r="G30" s="177"/>
      <c r="H30" s="177"/>
      <c r="I30" s="178">
        <v>0</v>
      </c>
      <c r="J30" s="177"/>
      <c r="K30" s="179">
        <f>ДДС!K50-'Модельный портфель'!K33</f>
        <v>495.53999999957159</v>
      </c>
      <c r="L30" s="183">
        <f>K30/K$38</f>
        <v>1.3513213031202269E-4</v>
      </c>
    </row>
    <row r="31" spans="2:12" s="153" customFormat="1" x14ac:dyDescent="0.25">
      <c r="B31" s="188"/>
      <c r="C31" s="151"/>
      <c r="D31" s="45"/>
      <c r="E31" s="45"/>
      <c r="F31" s="45"/>
      <c r="G31" s="45"/>
      <c r="H31" s="45"/>
      <c r="I31" s="226"/>
      <c r="J31" s="45"/>
      <c r="K31" s="165"/>
      <c r="L31" s="185"/>
    </row>
    <row r="32" spans="2:12" s="150" customFormat="1" ht="6.75" customHeight="1" x14ac:dyDescent="0.25">
      <c r="B32" s="192"/>
      <c r="C32" s="149"/>
      <c r="D32" s="149"/>
      <c r="E32" s="149"/>
      <c r="F32" s="149"/>
      <c r="G32" s="149"/>
      <c r="H32" s="149"/>
      <c r="I32" s="149"/>
      <c r="J32" s="149"/>
      <c r="K32" s="161"/>
      <c r="L32" s="191"/>
    </row>
    <row r="33" spans="2:12" s="180" customFormat="1" ht="18.75" x14ac:dyDescent="0.3">
      <c r="B33" s="193" t="s">
        <v>128</v>
      </c>
      <c r="C33" s="177"/>
      <c r="D33" s="177"/>
      <c r="E33" s="177"/>
      <c r="F33" s="177"/>
      <c r="G33" s="177"/>
      <c r="H33" s="177"/>
      <c r="I33" s="178">
        <f>Дивиденды!M22+Дивиденды!M48</f>
        <v>0</v>
      </c>
      <c r="J33" s="177"/>
      <c r="K33" s="179">
        <f>Дивиденды!K22+Дивиденды!K48</f>
        <v>0</v>
      </c>
      <c r="L33" s="183">
        <f>K33/K$38</f>
        <v>0</v>
      </c>
    </row>
    <row r="34" spans="2:12" s="180" customFormat="1" ht="18.75" x14ac:dyDescent="0.3">
      <c r="B34" s="352"/>
      <c r="C34" s="353"/>
      <c r="D34" s="353"/>
      <c r="E34" s="353"/>
      <c r="F34" s="353"/>
      <c r="G34" s="353"/>
      <c r="H34" s="353"/>
      <c r="I34" s="354"/>
      <c r="J34" s="353"/>
      <c r="K34" s="355"/>
      <c r="L34" s="356"/>
    </row>
    <row r="35" spans="2:12" s="180" customFormat="1" ht="18.75" x14ac:dyDescent="0.3">
      <c r="B35" s="357" t="s">
        <v>142</v>
      </c>
      <c r="C35" s="358"/>
      <c r="D35" s="358">
        <v>0</v>
      </c>
      <c r="E35" s="358"/>
      <c r="F35" s="358"/>
      <c r="G35" s="358"/>
      <c r="H35" s="358"/>
      <c r="I35" s="359">
        <f>I36</f>
        <v>0</v>
      </c>
      <c r="J35" s="358"/>
      <c r="K35" s="360">
        <f>Дивиденды!K24+Дивиденды!K50</f>
        <v>0</v>
      </c>
      <c r="L35" s="361">
        <f>K35/K$38</f>
        <v>0</v>
      </c>
    </row>
    <row r="36" spans="2:12" s="180" customFormat="1" ht="30" customHeight="1" x14ac:dyDescent="0.3">
      <c r="B36" s="352"/>
      <c r="C36" s="353"/>
      <c r="D36" s="362">
        <v>1</v>
      </c>
      <c r="E36" s="363"/>
      <c r="F36" s="363"/>
      <c r="G36" s="363"/>
      <c r="H36" s="363">
        <f t="shared" ref="H36" si="8">G36*F36</f>
        <v>0</v>
      </c>
      <c r="I36" s="364">
        <v>0</v>
      </c>
      <c r="J36" s="363"/>
      <c r="K36" s="365">
        <f>-H36*(13936+(13936-J36))</f>
        <v>0</v>
      </c>
      <c r="L36" s="366">
        <f>K36/K$38</f>
        <v>0</v>
      </c>
    </row>
    <row r="37" spans="2:12" s="180" customFormat="1" ht="18.75" x14ac:dyDescent="0.3">
      <c r="B37" s="352"/>
      <c r="C37" s="353"/>
      <c r="D37" s="353"/>
      <c r="E37" s="353"/>
      <c r="F37" s="353"/>
      <c r="G37" s="353"/>
      <c r="H37" s="353"/>
      <c r="I37" s="354"/>
      <c r="J37" s="353"/>
      <c r="K37" s="355"/>
      <c r="L37" s="356"/>
    </row>
    <row r="38" spans="2:12" s="181" customFormat="1" ht="21.75" thickBot="1" x14ac:dyDescent="0.4">
      <c r="B38" s="194" t="s">
        <v>65</v>
      </c>
      <c r="C38" s="195"/>
      <c r="D38" s="195">
        <f>D24+D17+D13+D9+D20+D35</f>
        <v>1</v>
      </c>
      <c r="E38" s="195"/>
      <c r="F38" s="195"/>
      <c r="G38" s="195"/>
      <c r="H38" s="195"/>
      <c r="I38" s="196">
        <f>I33+I7+I30+I35</f>
        <v>0</v>
      </c>
      <c r="J38" s="195"/>
      <c r="K38" s="197">
        <f>K33+K7+K30+K36</f>
        <v>3667077.5399999996</v>
      </c>
      <c r="L38" s="198">
        <f>K38/K$38</f>
        <v>1</v>
      </c>
    </row>
    <row r="41" spans="2:12" x14ac:dyDescent="0.25">
      <c r="B41" t="s">
        <v>68</v>
      </c>
    </row>
    <row r="42" spans="2:12" x14ac:dyDescent="0.25">
      <c r="B42" t="s">
        <v>69</v>
      </c>
    </row>
    <row r="43" spans="2:12" x14ac:dyDescent="0.25">
      <c r="B43" t="s">
        <v>130</v>
      </c>
    </row>
    <row r="44" spans="2:12" x14ac:dyDescent="0.25">
      <c r="B44" t="s">
        <v>134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topLeftCell="E1" zoomScale="95" zoomScaleNormal="95" workbookViewId="0">
      <pane ySplit="5" topLeftCell="A12" activePane="bottomLeft" state="frozen"/>
      <selection pane="bottomLeft" activeCell="J15" sqref="J15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7"/>
    <col min="7" max="7" width="14" style="1" customWidth="1"/>
    <col min="8" max="8" width="12.85546875" style="1" customWidth="1"/>
    <col min="9" max="9" width="16" style="1" customWidth="1"/>
    <col min="10" max="10" width="15" style="3" bestFit="1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1" customFormat="1" ht="26.25" x14ac:dyDescent="0.4">
      <c r="C1" s="113" t="s">
        <v>18</v>
      </c>
      <c r="F1" s="286"/>
      <c r="J1" s="23"/>
      <c r="K1" s="23"/>
    </row>
    <row r="2" spans="2:12" s="21" customFormat="1" ht="6.75" customHeight="1" x14ac:dyDescent="0.4">
      <c r="C2" s="22"/>
      <c r="F2" s="286"/>
      <c r="J2" s="23"/>
      <c r="K2" s="23"/>
    </row>
    <row r="3" spans="2:12" x14ac:dyDescent="0.25">
      <c r="C3" s="94" t="s">
        <v>19</v>
      </c>
      <c r="D3" s="95">
        <f>'Модельный портфель'!D3</f>
        <v>43531</v>
      </c>
      <c r="I3" s="3"/>
      <c r="L3" s="51"/>
    </row>
    <row r="4" spans="2:12" ht="10.5" customHeight="1" thickBot="1" x14ac:dyDescent="0.3"/>
    <row r="5" spans="2:12" s="24" customFormat="1" ht="57" thickBot="1" x14ac:dyDescent="0.35">
      <c r="B5" s="25" t="s">
        <v>0</v>
      </c>
      <c r="C5" s="26" t="s">
        <v>1</v>
      </c>
      <c r="D5" s="27" t="s">
        <v>2</v>
      </c>
      <c r="E5" s="28" t="s">
        <v>3</v>
      </c>
      <c r="F5" s="288" t="s">
        <v>4</v>
      </c>
      <c r="G5" s="28" t="s">
        <v>6</v>
      </c>
      <c r="H5" s="29" t="s">
        <v>5</v>
      </c>
      <c r="I5" s="29" t="s">
        <v>11</v>
      </c>
      <c r="J5" s="30" t="s">
        <v>12</v>
      </c>
      <c r="K5" s="31" t="s">
        <v>13</v>
      </c>
      <c r="L5" s="32" t="s">
        <v>7</v>
      </c>
    </row>
    <row r="6" spans="2:12" s="4" customFormat="1" ht="60" x14ac:dyDescent="0.25">
      <c r="B6" s="84">
        <v>1</v>
      </c>
      <c r="C6" s="85">
        <v>43465</v>
      </c>
      <c r="D6" s="86" t="s">
        <v>8</v>
      </c>
      <c r="E6" s="86" t="s">
        <v>14</v>
      </c>
      <c r="F6" s="289"/>
      <c r="G6" s="86"/>
      <c r="H6" s="86"/>
      <c r="I6" s="86"/>
      <c r="J6" s="87"/>
      <c r="K6" s="87">
        <v>3381979.54</v>
      </c>
      <c r="L6" s="88" t="s">
        <v>148</v>
      </c>
    </row>
    <row r="7" spans="2:12" ht="90" customHeight="1" x14ac:dyDescent="0.25">
      <c r="B7" s="5">
        <v>2</v>
      </c>
      <c r="C7" s="284">
        <v>43465</v>
      </c>
      <c r="D7" s="296" t="s">
        <v>141</v>
      </c>
      <c r="E7" s="7" t="s">
        <v>9</v>
      </c>
      <c r="F7" s="290">
        <v>186.3</v>
      </c>
      <c r="G7" s="7">
        <v>10</v>
      </c>
      <c r="H7" s="7">
        <v>1815</v>
      </c>
      <c r="I7" s="7">
        <f>H7*G7</f>
        <v>18150</v>
      </c>
      <c r="J7" s="8">
        <f>I7*F7</f>
        <v>3381345</v>
      </c>
      <c r="K7" s="8"/>
      <c r="L7" s="9" t="s">
        <v>149</v>
      </c>
    </row>
    <row r="8" spans="2:12" ht="60" x14ac:dyDescent="0.25">
      <c r="B8" s="10">
        <v>3</v>
      </c>
      <c r="C8" s="11">
        <v>43528</v>
      </c>
      <c r="D8" s="345" t="s">
        <v>141</v>
      </c>
      <c r="E8" s="12" t="s">
        <v>157</v>
      </c>
      <c r="F8" s="291">
        <v>205.67</v>
      </c>
      <c r="G8" s="12">
        <v>10</v>
      </c>
      <c r="H8" s="12">
        <v>1815</v>
      </c>
      <c r="I8" s="12">
        <f t="shared" ref="I8:I10" si="0">H8*G8</f>
        <v>18150</v>
      </c>
      <c r="J8" s="14"/>
      <c r="K8" s="14">
        <f t="shared" ref="K8:K9" si="1">I8*F8</f>
        <v>3732910.5</v>
      </c>
      <c r="L8" s="282" t="s">
        <v>159</v>
      </c>
    </row>
    <row r="9" spans="2:12" ht="45" x14ac:dyDescent="0.25">
      <c r="B9" s="383">
        <v>4</v>
      </c>
      <c r="C9" s="346">
        <v>43528</v>
      </c>
      <c r="D9" s="347" t="s">
        <v>141</v>
      </c>
      <c r="E9" s="348" t="s">
        <v>158</v>
      </c>
      <c r="F9" s="349">
        <v>205.67</v>
      </c>
      <c r="G9" s="348">
        <v>10</v>
      </c>
      <c r="H9" s="348">
        <v>-1815</v>
      </c>
      <c r="I9" s="348">
        <f t="shared" si="0"/>
        <v>-18150</v>
      </c>
      <c r="J9" s="350"/>
      <c r="K9" s="350">
        <f t="shared" si="1"/>
        <v>-3732910.5</v>
      </c>
      <c r="L9" s="351" t="s">
        <v>160</v>
      </c>
    </row>
    <row r="10" spans="2:12" ht="105" x14ac:dyDescent="0.25">
      <c r="B10" s="396">
        <v>5</v>
      </c>
      <c r="C10" s="343">
        <v>43537</v>
      </c>
      <c r="D10" s="397" t="s">
        <v>141</v>
      </c>
      <c r="E10" s="398" t="s">
        <v>161</v>
      </c>
      <c r="F10" s="399">
        <v>204</v>
      </c>
      <c r="G10" s="398">
        <v>10</v>
      </c>
      <c r="H10" s="398">
        <v>1815</v>
      </c>
      <c r="I10" s="398">
        <f t="shared" si="0"/>
        <v>18150</v>
      </c>
      <c r="J10" s="400">
        <f>-I10*(205.67+(205.67-F10))</f>
        <v>-3763220.9999999995</v>
      </c>
      <c r="K10" s="400"/>
      <c r="L10" s="401" t="s">
        <v>162</v>
      </c>
    </row>
    <row r="11" spans="2:12" ht="30" x14ac:dyDescent="0.25">
      <c r="B11" s="384">
        <v>6</v>
      </c>
      <c r="C11" s="385">
        <v>43537</v>
      </c>
      <c r="D11" s="386" t="s">
        <v>141</v>
      </c>
      <c r="E11" s="387" t="s">
        <v>163</v>
      </c>
      <c r="F11" s="388"/>
      <c r="G11" s="387"/>
      <c r="H11" s="387"/>
      <c r="I11" s="387"/>
      <c r="J11" s="389">
        <v>10125</v>
      </c>
      <c r="K11" s="389"/>
      <c r="L11" s="390" t="s">
        <v>164</v>
      </c>
    </row>
    <row r="12" spans="2:12" ht="45" x14ac:dyDescent="0.25">
      <c r="B12" s="383">
        <v>7</v>
      </c>
      <c r="C12" s="346">
        <v>43537</v>
      </c>
      <c r="D12" s="347" t="s">
        <v>166</v>
      </c>
      <c r="E12" s="348" t="s">
        <v>158</v>
      </c>
      <c r="F12" s="349">
        <v>13936</v>
      </c>
      <c r="G12" s="348">
        <v>1</v>
      </c>
      <c r="H12" s="348">
        <v>-269</v>
      </c>
      <c r="I12" s="348">
        <f t="shared" ref="I12:I13" si="2">H12*G12</f>
        <v>-269</v>
      </c>
      <c r="J12" s="350"/>
      <c r="K12" s="350">
        <f t="shared" ref="K12" si="3">I12*F12</f>
        <v>-3748784</v>
      </c>
      <c r="L12" s="351" t="s">
        <v>167</v>
      </c>
    </row>
    <row r="13" spans="2:12" ht="75" x14ac:dyDescent="0.25">
      <c r="B13" s="396">
        <v>6</v>
      </c>
      <c r="C13" s="343">
        <v>43549</v>
      </c>
      <c r="D13" s="397" t="s">
        <v>166</v>
      </c>
      <c r="E13" s="398" t="s">
        <v>161</v>
      </c>
      <c r="F13" s="399">
        <v>14298</v>
      </c>
      <c r="G13" s="398">
        <v>1</v>
      </c>
      <c r="H13" s="398">
        <v>269</v>
      </c>
      <c r="I13" s="398">
        <f t="shared" si="2"/>
        <v>269</v>
      </c>
      <c r="J13" s="400">
        <f>-I13*(13936+(13936-F13))</f>
        <v>-3651406</v>
      </c>
      <c r="K13" s="400"/>
      <c r="L13" s="401" t="s">
        <v>168</v>
      </c>
    </row>
    <row r="14" spans="2:12" ht="30" x14ac:dyDescent="0.25">
      <c r="B14" s="384">
        <v>7</v>
      </c>
      <c r="C14" s="385">
        <v>43537</v>
      </c>
      <c r="D14" s="386" t="s">
        <v>166</v>
      </c>
      <c r="E14" s="387" t="s">
        <v>163</v>
      </c>
      <c r="F14" s="388"/>
      <c r="G14" s="387"/>
      <c r="H14" s="387"/>
      <c r="I14" s="387"/>
      <c r="J14" s="389">
        <v>13557</v>
      </c>
      <c r="K14" s="389"/>
      <c r="L14" s="390" t="s">
        <v>169</v>
      </c>
    </row>
    <row r="15" spans="2:12" ht="45" x14ac:dyDescent="0.25">
      <c r="B15" s="5">
        <v>8</v>
      </c>
      <c r="C15" s="6">
        <v>43537</v>
      </c>
      <c r="D15" s="424" t="s">
        <v>141</v>
      </c>
      <c r="E15" s="7" t="s">
        <v>9</v>
      </c>
      <c r="F15" s="290">
        <v>213</v>
      </c>
      <c r="G15" s="7">
        <v>10</v>
      </c>
      <c r="H15" s="7">
        <v>1710</v>
      </c>
      <c r="I15" s="7">
        <f>H15*G15</f>
        <v>17100</v>
      </c>
      <c r="J15" s="8">
        <f>I15*F15</f>
        <v>3642300</v>
      </c>
      <c r="K15" s="8"/>
      <c r="L15" s="9" t="s">
        <v>170</v>
      </c>
    </row>
    <row r="16" spans="2:12" ht="8.25" customHeight="1" x14ac:dyDescent="0.25">
      <c r="B16" s="10">
        <v>11</v>
      </c>
      <c r="C16" s="11"/>
      <c r="D16" s="12"/>
      <c r="E16" s="12"/>
      <c r="F16" s="12"/>
      <c r="G16" s="13"/>
      <c r="H16" s="12"/>
      <c r="I16" s="12"/>
      <c r="J16" s="14"/>
      <c r="K16" s="14"/>
      <c r="L16" s="282"/>
    </row>
    <row r="17" spans="2:12" ht="8.25" customHeight="1" x14ac:dyDescent="0.25">
      <c r="B17" s="5">
        <v>12</v>
      </c>
      <c r="C17" s="6"/>
      <c r="D17" s="7"/>
      <c r="E17" s="7"/>
      <c r="F17" s="7"/>
      <c r="G17" s="7"/>
      <c r="H17" s="7"/>
      <c r="I17" s="7"/>
      <c r="J17" s="8"/>
      <c r="K17" s="8"/>
      <c r="L17" s="9"/>
    </row>
    <row r="18" spans="2:12" ht="8.25" customHeight="1" x14ac:dyDescent="0.25">
      <c r="B18" s="10">
        <v>13</v>
      </c>
      <c r="C18" s="11"/>
      <c r="D18" s="12"/>
      <c r="E18" s="12"/>
      <c r="F18" s="12"/>
      <c r="G18" s="13"/>
      <c r="H18" s="12"/>
      <c r="I18" s="12"/>
      <c r="J18" s="14"/>
      <c r="K18" s="14"/>
      <c r="L18" s="282"/>
    </row>
    <row r="19" spans="2:12" ht="8.25" customHeight="1" x14ac:dyDescent="0.25">
      <c r="B19" s="5">
        <v>14</v>
      </c>
      <c r="C19" s="6"/>
      <c r="D19" s="7"/>
      <c r="E19" s="7"/>
      <c r="F19" s="7"/>
      <c r="G19" s="7"/>
      <c r="H19" s="7"/>
      <c r="I19" s="7"/>
      <c r="J19" s="8"/>
      <c r="K19" s="8"/>
      <c r="L19" s="9"/>
    </row>
    <row r="20" spans="2:12" ht="8.25" customHeight="1" x14ac:dyDescent="0.25">
      <c r="B20" s="10">
        <v>15</v>
      </c>
      <c r="C20" s="11"/>
      <c r="D20" s="12"/>
      <c r="E20" s="12"/>
      <c r="F20" s="12"/>
      <c r="G20" s="13"/>
      <c r="H20" s="12"/>
      <c r="I20" s="12"/>
      <c r="J20" s="14"/>
      <c r="K20" s="14"/>
      <c r="L20" s="282"/>
    </row>
    <row r="21" spans="2:12" ht="8.25" customHeight="1" x14ac:dyDescent="0.25">
      <c r="B21" s="10">
        <v>15</v>
      </c>
      <c r="C21" s="11"/>
      <c r="D21" s="12"/>
      <c r="E21" s="12"/>
      <c r="F21" s="12"/>
      <c r="G21" s="13"/>
      <c r="H21" s="12"/>
      <c r="I21" s="12"/>
      <c r="J21" s="14"/>
      <c r="K21" s="14"/>
      <c r="L21" s="282"/>
    </row>
    <row r="22" spans="2:12" ht="8.25" customHeight="1" x14ac:dyDescent="0.25">
      <c r="B22" s="5">
        <v>14</v>
      </c>
      <c r="C22" s="6"/>
      <c r="D22" s="7"/>
      <c r="E22" s="7"/>
      <c r="F22" s="7"/>
      <c r="G22" s="7"/>
      <c r="H22" s="7"/>
      <c r="I22" s="7"/>
      <c r="J22" s="8"/>
      <c r="K22" s="8"/>
      <c r="L22" s="9"/>
    </row>
    <row r="23" spans="2:12" ht="8.25" customHeight="1" x14ac:dyDescent="0.25">
      <c r="B23" s="5">
        <v>14</v>
      </c>
      <c r="C23" s="6"/>
      <c r="D23" s="7"/>
      <c r="E23" s="7"/>
      <c r="F23" s="7"/>
      <c r="G23" s="7"/>
      <c r="H23" s="7"/>
      <c r="I23" s="7"/>
      <c r="J23" s="8"/>
      <c r="K23" s="8"/>
      <c r="L23" s="9"/>
    </row>
    <row r="24" spans="2:12" ht="8.25" customHeight="1" x14ac:dyDescent="0.25">
      <c r="B24" s="10">
        <v>15</v>
      </c>
      <c r="C24" s="11"/>
      <c r="D24" s="12"/>
      <c r="E24" s="12"/>
      <c r="F24" s="12"/>
      <c r="G24" s="13"/>
      <c r="H24" s="12"/>
      <c r="I24" s="12"/>
      <c r="J24" s="14"/>
      <c r="K24" s="14"/>
      <c r="L24" s="282"/>
    </row>
    <row r="25" spans="2:12" ht="8.25" customHeight="1" x14ac:dyDescent="0.25">
      <c r="B25" s="5">
        <v>5</v>
      </c>
      <c r="C25" s="285"/>
      <c r="D25" s="296"/>
      <c r="E25" s="7"/>
      <c r="F25" s="290"/>
      <c r="G25" s="7"/>
      <c r="H25" s="7"/>
      <c r="I25" s="7"/>
      <c r="J25" s="8"/>
      <c r="K25" s="8"/>
      <c r="L25" s="9"/>
    </row>
    <row r="26" spans="2:12" ht="8.25" customHeight="1" x14ac:dyDescent="0.25">
      <c r="B26" s="10">
        <v>15</v>
      </c>
      <c r="C26" s="11"/>
      <c r="D26" s="12"/>
      <c r="E26" s="12"/>
      <c r="F26" s="12"/>
      <c r="G26" s="13"/>
      <c r="H26" s="12"/>
      <c r="I26" s="12"/>
      <c r="J26" s="14"/>
      <c r="K26" s="14"/>
      <c r="L26" s="282"/>
    </row>
    <row r="27" spans="2:12" ht="8.25" customHeight="1" x14ac:dyDescent="0.25">
      <c r="B27" s="5">
        <v>16</v>
      </c>
      <c r="C27" s="343"/>
      <c r="D27" s="296"/>
      <c r="E27" s="7"/>
      <c r="F27" s="290"/>
      <c r="G27" s="7"/>
      <c r="H27" s="7"/>
      <c r="I27" s="7"/>
      <c r="J27" s="8"/>
      <c r="K27" s="8"/>
      <c r="L27" s="9"/>
    </row>
    <row r="28" spans="2:12" ht="8.25" customHeight="1" x14ac:dyDescent="0.25">
      <c r="B28" s="10">
        <v>17</v>
      </c>
      <c r="C28" s="11"/>
      <c r="D28" s="12"/>
      <c r="E28" s="12"/>
      <c r="F28" s="12"/>
      <c r="G28" s="13"/>
      <c r="H28" s="12"/>
      <c r="I28" s="12"/>
      <c r="J28" s="14"/>
      <c r="K28" s="14"/>
      <c r="L28" s="282"/>
    </row>
    <row r="29" spans="2:12" ht="8.25" customHeight="1" x14ac:dyDescent="0.25">
      <c r="B29" s="5">
        <v>18</v>
      </c>
      <c r="C29" s="343"/>
      <c r="D29" s="296"/>
      <c r="E29" s="7"/>
      <c r="F29" s="290"/>
      <c r="G29" s="7"/>
      <c r="H29" s="7"/>
      <c r="I29" s="7"/>
      <c r="J29" s="8"/>
      <c r="K29" s="14"/>
      <c r="L29" s="9"/>
    </row>
    <row r="30" spans="2:12" ht="8.25" customHeight="1" x14ac:dyDescent="0.25">
      <c r="B30" s="10">
        <v>19</v>
      </c>
      <c r="C30" s="11"/>
      <c r="D30" s="345"/>
      <c r="E30" s="12"/>
      <c r="F30" s="291"/>
      <c r="G30" s="12"/>
      <c r="H30" s="12"/>
      <c r="I30" s="12"/>
      <c r="J30" s="14"/>
      <c r="K30" s="14"/>
      <c r="L30" s="282"/>
    </row>
    <row r="31" spans="2:12" ht="8.25" customHeight="1" x14ac:dyDescent="0.25">
      <c r="B31" s="10">
        <v>20</v>
      </c>
      <c r="C31" s="11"/>
      <c r="D31" s="345"/>
      <c r="E31" s="12"/>
      <c r="F31" s="291"/>
      <c r="G31" s="12"/>
      <c r="H31" s="12"/>
      <c r="I31" s="12"/>
      <c r="J31" s="14"/>
      <c r="K31" s="14"/>
      <c r="L31" s="282"/>
    </row>
    <row r="32" spans="2:12" ht="8.25" customHeight="1" x14ac:dyDescent="0.25">
      <c r="B32" s="10">
        <v>21</v>
      </c>
      <c r="C32" s="11"/>
      <c r="D32" s="345"/>
      <c r="E32" s="12"/>
      <c r="F32" s="291"/>
      <c r="G32" s="12"/>
      <c r="H32" s="12"/>
      <c r="I32" s="12"/>
      <c r="J32" s="14"/>
      <c r="K32" s="14"/>
      <c r="L32" s="282"/>
    </row>
    <row r="33" spans="2:12" ht="8.25" customHeight="1" x14ac:dyDescent="0.25">
      <c r="B33" s="10">
        <v>22</v>
      </c>
      <c r="C33" s="11"/>
      <c r="D33" s="345"/>
      <c r="E33" s="12"/>
      <c r="F33" s="291"/>
      <c r="G33" s="12"/>
      <c r="H33" s="12"/>
      <c r="I33" s="12"/>
      <c r="J33" s="14"/>
      <c r="K33" s="14"/>
      <c r="L33" s="282"/>
    </row>
    <row r="34" spans="2:12" ht="8.25" customHeight="1" x14ac:dyDescent="0.25">
      <c r="B34" s="10">
        <v>23</v>
      </c>
      <c r="C34" s="11"/>
      <c r="D34" s="345"/>
      <c r="E34" s="12"/>
      <c r="F34" s="291"/>
      <c r="G34" s="12"/>
      <c r="H34" s="12"/>
      <c r="I34" s="12"/>
      <c r="J34" s="14"/>
      <c r="K34" s="14"/>
      <c r="L34" s="282"/>
    </row>
    <row r="35" spans="2:12" ht="8.25" customHeight="1" x14ac:dyDescent="0.25">
      <c r="B35" s="10">
        <v>24</v>
      </c>
      <c r="C35" s="11"/>
      <c r="D35" s="345"/>
      <c r="E35" s="12"/>
      <c r="F35" s="291"/>
      <c r="G35" s="12"/>
      <c r="H35" s="12"/>
      <c r="I35" s="12"/>
      <c r="J35" s="14"/>
      <c r="K35" s="14"/>
      <c r="L35" s="282"/>
    </row>
    <row r="36" spans="2:12" ht="8.25" customHeight="1" x14ac:dyDescent="0.25">
      <c r="B36" s="383">
        <v>25</v>
      </c>
      <c r="C36" s="346"/>
      <c r="D36" s="347"/>
      <c r="E36" s="348"/>
      <c r="F36" s="349"/>
      <c r="G36" s="348"/>
      <c r="H36" s="348"/>
      <c r="I36" s="348"/>
      <c r="J36" s="350"/>
      <c r="K36" s="350"/>
      <c r="L36" s="351"/>
    </row>
    <row r="37" spans="2:12" ht="8.25" customHeight="1" x14ac:dyDescent="0.25">
      <c r="B37" s="383">
        <v>26</v>
      </c>
      <c r="C37" s="346"/>
      <c r="D37" s="347"/>
      <c r="E37" s="348"/>
      <c r="F37" s="349"/>
      <c r="G37" s="348"/>
      <c r="H37" s="348"/>
      <c r="I37" s="348"/>
      <c r="J37" s="350"/>
      <c r="K37" s="350"/>
      <c r="L37" s="351"/>
    </row>
    <row r="38" spans="2:12" ht="8.25" customHeight="1" x14ac:dyDescent="0.25">
      <c r="B38" s="383">
        <v>27</v>
      </c>
      <c r="C38" s="346"/>
      <c r="D38" s="347"/>
      <c r="E38" s="348"/>
      <c r="F38" s="349"/>
      <c r="G38" s="348"/>
      <c r="H38" s="348"/>
      <c r="I38" s="348"/>
      <c r="J38" s="350"/>
      <c r="K38" s="350"/>
      <c r="L38" s="351"/>
    </row>
    <row r="39" spans="2:12" ht="8.25" customHeight="1" x14ac:dyDescent="0.25">
      <c r="B39" s="382">
        <v>28</v>
      </c>
      <c r="C39" s="369"/>
      <c r="D39" s="370"/>
      <c r="E39" s="371"/>
      <c r="F39" s="372"/>
      <c r="G39" s="371"/>
      <c r="H39" s="371"/>
      <c r="I39" s="371"/>
      <c r="J39" s="373"/>
      <c r="K39" s="373"/>
      <c r="L39" s="374"/>
    </row>
    <row r="40" spans="2:12" s="402" customFormat="1" ht="8.25" customHeight="1" x14ac:dyDescent="0.25">
      <c r="B40" s="396">
        <v>29</v>
      </c>
      <c r="C40" s="343"/>
      <c r="D40" s="397"/>
      <c r="E40" s="398"/>
      <c r="F40" s="399"/>
      <c r="G40" s="398"/>
      <c r="H40" s="398"/>
      <c r="I40" s="398"/>
      <c r="J40" s="400"/>
      <c r="K40" s="400"/>
      <c r="L40" s="401"/>
    </row>
    <row r="41" spans="2:12" s="391" customFormat="1" ht="8.25" customHeight="1" x14ac:dyDescent="0.25">
      <c r="B41" s="384">
        <v>30</v>
      </c>
      <c r="C41" s="385"/>
      <c r="D41" s="386"/>
      <c r="E41" s="387"/>
      <c r="F41" s="388"/>
      <c r="G41" s="387"/>
      <c r="H41" s="387"/>
      <c r="I41" s="387"/>
      <c r="J41" s="389"/>
      <c r="K41" s="389"/>
      <c r="L41" s="390"/>
    </row>
    <row r="42" spans="2:12" ht="8.25" customHeight="1" x14ac:dyDescent="0.25">
      <c r="B42" s="384">
        <v>31</v>
      </c>
      <c r="C42" s="385"/>
      <c r="D42" s="386"/>
      <c r="E42" s="387"/>
      <c r="F42" s="388"/>
      <c r="G42" s="387"/>
      <c r="H42" s="387"/>
      <c r="I42" s="387"/>
      <c r="J42" s="389"/>
      <c r="K42" s="389"/>
      <c r="L42" s="390"/>
    </row>
    <row r="43" spans="2:12" ht="8.25" customHeight="1" x14ac:dyDescent="0.25">
      <c r="B43" s="384">
        <v>32</v>
      </c>
      <c r="C43" s="385"/>
      <c r="D43" s="386"/>
      <c r="E43" s="387"/>
      <c r="F43" s="388"/>
      <c r="G43" s="387"/>
      <c r="H43" s="387"/>
      <c r="I43" s="387"/>
      <c r="J43" s="389"/>
      <c r="K43" s="389"/>
      <c r="L43" s="390"/>
    </row>
    <row r="44" spans="2:12" ht="8.25" customHeight="1" x14ac:dyDescent="0.25">
      <c r="B44" s="5">
        <v>18</v>
      </c>
      <c r="C44" s="6"/>
      <c r="D44" s="296"/>
      <c r="E44" s="7"/>
      <c r="F44" s="290"/>
      <c r="G44" s="7"/>
      <c r="H44" s="7"/>
      <c r="I44" s="7"/>
      <c r="J44" s="8"/>
      <c r="K44" s="14"/>
      <c r="L44" s="9"/>
    </row>
    <row r="45" spans="2:12" ht="8.25" customHeight="1" x14ac:dyDescent="0.25">
      <c r="B45" s="89"/>
      <c r="C45" s="90"/>
      <c r="D45" s="91"/>
      <c r="E45" s="91"/>
      <c r="F45" s="292"/>
      <c r="G45" s="91"/>
      <c r="H45" s="91"/>
      <c r="I45" s="91"/>
      <c r="J45" s="92"/>
      <c r="K45" s="92"/>
      <c r="L45" s="93"/>
    </row>
    <row r="46" spans="2:12" ht="4.5" customHeight="1" thickBot="1" x14ac:dyDescent="0.3">
      <c r="B46" s="261"/>
      <c r="C46" s="262"/>
      <c r="D46" s="263"/>
      <c r="E46" s="263"/>
      <c r="F46" s="293"/>
      <c r="G46" s="263"/>
      <c r="H46" s="263"/>
      <c r="I46" s="263"/>
      <c r="J46" s="264"/>
      <c r="K46" s="264"/>
      <c r="L46" s="272"/>
    </row>
    <row r="47" spans="2:12" x14ac:dyDescent="0.25">
      <c r="B47" s="222"/>
      <c r="C47" s="223"/>
      <c r="D47" s="222"/>
      <c r="E47" s="222"/>
      <c r="F47" s="294"/>
      <c r="G47" s="222"/>
      <c r="H47" s="222"/>
      <c r="I47" s="222"/>
      <c r="J47" s="224"/>
      <c r="K47" s="224"/>
      <c r="L47" s="222"/>
    </row>
    <row r="48" spans="2:12" s="17" customFormat="1" x14ac:dyDescent="0.25">
      <c r="C48" s="18"/>
      <c r="F48" s="295"/>
      <c r="I48" s="37"/>
      <c r="J48" s="38">
        <f>SUM(J6:J46)</f>
        <v>-367299.99999999953</v>
      </c>
      <c r="K48" s="38">
        <f>SUM(K6:K46)</f>
        <v>-366804.45999999996</v>
      </c>
      <c r="L48" s="37" t="s">
        <v>17</v>
      </c>
    </row>
    <row r="49" spans="3:12" s="17" customFormat="1" ht="7.5" customHeight="1" x14ac:dyDescent="0.25">
      <c r="C49" s="18"/>
      <c r="F49" s="295"/>
      <c r="I49" s="37"/>
      <c r="J49" s="38"/>
      <c r="K49" s="38"/>
      <c r="L49" s="37"/>
    </row>
    <row r="50" spans="3:12" ht="30.75" thickBot="1" x14ac:dyDescent="0.3">
      <c r="I50" s="46" t="s">
        <v>15</v>
      </c>
      <c r="J50" s="214"/>
      <c r="K50" s="214">
        <f>K48-J48</f>
        <v>495.53999999957159</v>
      </c>
      <c r="L50" s="215" t="s">
        <v>16</v>
      </c>
    </row>
    <row r="51" spans="3:12" ht="15.75" thickTop="1" x14ac:dyDescent="0.25"/>
  </sheetData>
  <autoFilter ref="A6:L5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1" workbookViewId="0">
      <selection activeCell="B30" sqref="B30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8" bestFit="1" customWidth="1"/>
    <col min="11" max="11" width="13.140625" style="48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1" customFormat="1" ht="28.5" x14ac:dyDescent="0.45">
      <c r="A1" s="21"/>
      <c r="C1" s="112" t="s">
        <v>51</v>
      </c>
      <c r="E1" s="62"/>
      <c r="J1" s="63"/>
      <c r="K1" s="63"/>
      <c r="L1" s="62"/>
    </row>
    <row r="2" spans="1:14" s="61" customFormat="1" ht="6" customHeight="1" x14ac:dyDescent="0.45">
      <c r="A2" s="21"/>
      <c r="C2" s="112"/>
      <c r="E2" s="62"/>
      <c r="J2" s="63"/>
      <c r="K2" s="63"/>
      <c r="L2" s="62"/>
    </row>
    <row r="3" spans="1:14" s="276" customFormat="1" ht="18.75" customHeight="1" x14ac:dyDescent="0.35">
      <c r="B3" s="280" t="s">
        <v>150</v>
      </c>
      <c r="C3" s="277"/>
      <c r="E3" s="278"/>
      <c r="J3" s="279"/>
      <c r="K3" s="279"/>
      <c r="L3" s="278"/>
    </row>
    <row r="4" spans="1:14" ht="8.25" customHeight="1" thickBot="1" x14ac:dyDescent="0.3"/>
    <row r="5" spans="1:14" s="60" customFormat="1" ht="30" customHeight="1" thickBot="1" x14ac:dyDescent="0.4">
      <c r="B5" s="82"/>
      <c r="C5" s="82"/>
      <c r="D5" s="429" t="s">
        <v>37</v>
      </c>
      <c r="E5" s="430"/>
      <c r="F5" s="430"/>
      <c r="G5" s="430"/>
      <c r="H5" s="431"/>
      <c r="I5" s="426" t="s">
        <v>38</v>
      </c>
      <c r="J5" s="427"/>
      <c r="K5" s="427"/>
      <c r="L5" s="427"/>
      <c r="M5" s="428"/>
      <c r="N5" s="83"/>
    </row>
    <row r="6" spans="1:14" s="58" customFormat="1" ht="93" customHeight="1" thickBot="1" x14ac:dyDescent="0.3">
      <c r="B6" s="73" t="s">
        <v>34</v>
      </c>
      <c r="C6" s="73" t="s">
        <v>35</v>
      </c>
      <c r="D6" s="73" t="s">
        <v>43</v>
      </c>
      <c r="E6" s="76" t="s">
        <v>39</v>
      </c>
      <c r="F6" s="73" t="s">
        <v>36</v>
      </c>
      <c r="G6" s="73" t="s">
        <v>48</v>
      </c>
      <c r="H6" s="73" t="s">
        <v>49</v>
      </c>
      <c r="I6" s="79" t="s">
        <v>44</v>
      </c>
      <c r="J6" s="80" t="s">
        <v>40</v>
      </c>
      <c r="K6" s="80" t="s">
        <v>41</v>
      </c>
      <c r="L6" s="76" t="s">
        <v>45</v>
      </c>
      <c r="M6" s="73" t="s">
        <v>42</v>
      </c>
      <c r="N6" s="73" t="s">
        <v>7</v>
      </c>
    </row>
    <row r="7" spans="1:14" x14ac:dyDescent="0.25">
      <c r="B7" s="72">
        <v>1</v>
      </c>
      <c r="C7" s="74"/>
      <c r="D7" s="74"/>
      <c r="E7" s="75"/>
      <c r="F7" s="74"/>
      <c r="G7" s="74"/>
      <c r="H7" s="77" t="e">
        <f>F7/G7</f>
        <v>#DIV/0!</v>
      </c>
      <c r="I7" s="74">
        <f>F7*0.87</f>
        <v>0</v>
      </c>
      <c r="J7" s="78"/>
      <c r="K7" s="99">
        <f>I7*J7</f>
        <v>0</v>
      </c>
      <c r="L7" s="75"/>
      <c r="M7" s="101">
        <f>K7/3000000</f>
        <v>0</v>
      </c>
      <c r="N7" s="81"/>
    </row>
    <row r="8" spans="1:14" x14ac:dyDescent="0.25">
      <c r="B8" s="64">
        <v>2</v>
      </c>
      <c r="C8" s="54"/>
      <c r="D8" s="54"/>
      <c r="E8" s="55"/>
      <c r="F8" s="54"/>
      <c r="G8" s="54"/>
      <c r="H8" s="57" t="e">
        <f t="shared" ref="H8:H20" si="0">F8/G8</f>
        <v>#DIV/0!</v>
      </c>
      <c r="I8" s="54">
        <f t="shared" ref="I8:I20" si="1">F8*0.87</f>
        <v>0</v>
      </c>
      <c r="J8" s="56"/>
      <c r="K8" s="59">
        <f t="shared" ref="K8:K20" si="2">I8*J8</f>
        <v>0</v>
      </c>
      <c r="L8" s="281"/>
      <c r="M8" s="102">
        <f t="shared" ref="M8:M20" si="3">K8/3000000</f>
        <v>0</v>
      </c>
      <c r="N8" s="65"/>
    </row>
    <row r="9" spans="1:14" x14ac:dyDescent="0.25">
      <c r="B9" s="64">
        <v>3</v>
      </c>
      <c r="C9" s="54"/>
      <c r="D9" s="54"/>
      <c r="E9" s="55"/>
      <c r="F9" s="54"/>
      <c r="G9" s="54"/>
      <c r="H9" s="57" t="e">
        <f t="shared" si="0"/>
        <v>#DIV/0!</v>
      </c>
      <c r="I9" s="54">
        <f t="shared" si="1"/>
        <v>0</v>
      </c>
      <c r="J9" s="56"/>
      <c r="K9" s="59">
        <f t="shared" si="2"/>
        <v>0</v>
      </c>
      <c r="L9" s="281"/>
      <c r="M9" s="102">
        <f t="shared" si="3"/>
        <v>0</v>
      </c>
      <c r="N9" s="65"/>
    </row>
    <row r="10" spans="1:14" x14ac:dyDescent="0.25">
      <c r="B10" s="64">
        <v>4</v>
      </c>
      <c r="C10" s="54"/>
      <c r="D10" s="54"/>
      <c r="E10" s="55"/>
      <c r="F10" s="54"/>
      <c r="G10" s="54"/>
      <c r="H10" s="57" t="e">
        <f t="shared" si="0"/>
        <v>#DIV/0!</v>
      </c>
      <c r="I10" s="54">
        <f t="shared" si="1"/>
        <v>0</v>
      </c>
      <c r="J10" s="56"/>
      <c r="K10" s="59">
        <f t="shared" si="2"/>
        <v>0</v>
      </c>
      <c r="L10" s="281"/>
      <c r="M10" s="102">
        <f t="shared" si="3"/>
        <v>0</v>
      </c>
      <c r="N10" s="65"/>
    </row>
    <row r="11" spans="1:14" x14ac:dyDescent="0.25">
      <c r="B11" s="64">
        <v>5</v>
      </c>
      <c r="C11" s="45"/>
      <c r="D11" s="54"/>
      <c r="E11" s="55"/>
      <c r="F11" s="54"/>
      <c r="G11" s="54"/>
      <c r="H11" s="57" t="e">
        <f t="shared" si="0"/>
        <v>#DIV/0!</v>
      </c>
      <c r="I11" s="54">
        <f t="shared" si="1"/>
        <v>0</v>
      </c>
      <c r="J11" s="56"/>
      <c r="K11" s="59">
        <f t="shared" si="2"/>
        <v>0</v>
      </c>
      <c r="L11" s="281"/>
      <c r="M11" s="102">
        <f t="shared" si="3"/>
        <v>0</v>
      </c>
      <c r="N11" s="65"/>
    </row>
    <row r="12" spans="1:14" x14ac:dyDescent="0.25">
      <c r="B12" s="64">
        <v>6</v>
      </c>
      <c r="C12" s="54"/>
      <c r="D12" s="54"/>
      <c r="E12" s="55"/>
      <c r="F12" s="54"/>
      <c r="G12" s="54"/>
      <c r="H12" s="57" t="e">
        <f t="shared" si="0"/>
        <v>#DIV/0!</v>
      </c>
      <c r="I12" s="54">
        <f t="shared" si="1"/>
        <v>0</v>
      </c>
      <c r="J12" s="56"/>
      <c r="K12" s="59">
        <f t="shared" si="2"/>
        <v>0</v>
      </c>
      <c r="L12" s="281"/>
      <c r="M12" s="102">
        <f t="shared" si="3"/>
        <v>0</v>
      </c>
      <c r="N12" s="65"/>
    </row>
    <row r="13" spans="1:14" x14ac:dyDescent="0.25">
      <c r="B13" s="64">
        <v>7</v>
      </c>
      <c r="C13" s="54"/>
      <c r="D13" s="54"/>
      <c r="E13" s="55"/>
      <c r="F13" s="54"/>
      <c r="G13" s="54"/>
      <c r="H13" s="57" t="e">
        <f t="shared" si="0"/>
        <v>#DIV/0!</v>
      </c>
      <c r="I13" s="54">
        <f t="shared" si="1"/>
        <v>0</v>
      </c>
      <c r="J13" s="56"/>
      <c r="K13" s="59">
        <f t="shared" si="2"/>
        <v>0</v>
      </c>
      <c r="L13" s="281"/>
      <c r="M13" s="102">
        <f t="shared" si="3"/>
        <v>0</v>
      </c>
      <c r="N13" s="65"/>
    </row>
    <row r="14" spans="1:14" x14ac:dyDescent="0.25">
      <c r="B14" s="64">
        <v>8</v>
      </c>
      <c r="C14" s="54"/>
      <c r="D14" s="54"/>
      <c r="E14" s="55"/>
      <c r="F14" s="54"/>
      <c r="G14" s="54"/>
      <c r="H14" s="57" t="e">
        <f t="shared" si="0"/>
        <v>#DIV/0!</v>
      </c>
      <c r="I14" s="54">
        <f t="shared" si="1"/>
        <v>0</v>
      </c>
      <c r="J14" s="56"/>
      <c r="K14" s="59">
        <f t="shared" si="2"/>
        <v>0</v>
      </c>
      <c r="L14" s="281"/>
      <c r="M14" s="102">
        <f t="shared" si="3"/>
        <v>0</v>
      </c>
      <c r="N14" s="65"/>
    </row>
    <row r="15" spans="1:14" x14ac:dyDescent="0.25">
      <c r="B15" s="64">
        <v>9</v>
      </c>
      <c r="C15" s="54"/>
      <c r="D15" s="54"/>
      <c r="E15" s="55"/>
      <c r="F15" s="54"/>
      <c r="G15" s="54"/>
      <c r="H15" s="57" t="e">
        <f t="shared" si="0"/>
        <v>#DIV/0!</v>
      </c>
      <c r="I15" s="54">
        <f t="shared" si="1"/>
        <v>0</v>
      </c>
      <c r="J15" s="56"/>
      <c r="K15" s="59">
        <f t="shared" si="2"/>
        <v>0</v>
      </c>
      <c r="L15" s="281"/>
      <c r="M15" s="102">
        <f t="shared" si="3"/>
        <v>0</v>
      </c>
      <c r="N15" s="65"/>
    </row>
    <row r="16" spans="1:14" x14ac:dyDescent="0.25">
      <c r="B16" s="64">
        <v>10</v>
      </c>
      <c r="C16" s="54"/>
      <c r="D16" s="54"/>
      <c r="E16" s="55"/>
      <c r="F16" s="54"/>
      <c r="G16" s="54"/>
      <c r="H16" s="57" t="e">
        <f t="shared" si="0"/>
        <v>#DIV/0!</v>
      </c>
      <c r="I16" s="54">
        <f t="shared" si="1"/>
        <v>0</v>
      </c>
      <c r="J16" s="56"/>
      <c r="K16" s="59">
        <f t="shared" si="2"/>
        <v>0</v>
      </c>
      <c r="L16" s="281"/>
      <c r="M16" s="102">
        <f t="shared" si="3"/>
        <v>0</v>
      </c>
      <c r="N16" s="65"/>
    </row>
    <row r="17" spans="2:14" x14ac:dyDescent="0.25">
      <c r="B17" s="64">
        <v>11</v>
      </c>
      <c r="C17" s="54"/>
      <c r="D17" s="54"/>
      <c r="E17" s="55"/>
      <c r="F17" s="54"/>
      <c r="G17" s="54"/>
      <c r="H17" s="57" t="e">
        <f t="shared" si="0"/>
        <v>#DIV/0!</v>
      </c>
      <c r="I17" s="54">
        <f t="shared" si="1"/>
        <v>0</v>
      </c>
      <c r="J17" s="56"/>
      <c r="K17" s="59">
        <f t="shared" si="2"/>
        <v>0</v>
      </c>
      <c r="L17" s="281"/>
      <c r="M17" s="102">
        <f t="shared" si="3"/>
        <v>0</v>
      </c>
      <c r="N17" s="65"/>
    </row>
    <row r="18" spans="2:14" x14ac:dyDescent="0.25">
      <c r="B18" s="64">
        <v>12</v>
      </c>
      <c r="C18" s="54"/>
      <c r="D18" s="54"/>
      <c r="E18" s="55"/>
      <c r="F18" s="54"/>
      <c r="G18" s="54"/>
      <c r="H18" s="57" t="e">
        <f t="shared" si="0"/>
        <v>#DIV/0!</v>
      </c>
      <c r="I18" s="54">
        <f t="shared" si="1"/>
        <v>0</v>
      </c>
      <c r="J18" s="56"/>
      <c r="K18" s="59">
        <f t="shared" si="2"/>
        <v>0</v>
      </c>
      <c r="L18" s="281"/>
      <c r="M18" s="102">
        <f t="shared" si="3"/>
        <v>0</v>
      </c>
      <c r="N18" s="65"/>
    </row>
    <row r="19" spans="2:14" x14ac:dyDescent="0.25">
      <c r="B19" s="64">
        <v>13</v>
      </c>
      <c r="C19" s="54"/>
      <c r="D19" s="54"/>
      <c r="E19" s="55"/>
      <c r="F19" s="54"/>
      <c r="G19" s="54"/>
      <c r="H19" s="57" t="e">
        <f t="shared" si="0"/>
        <v>#DIV/0!</v>
      </c>
      <c r="I19" s="54">
        <f t="shared" si="1"/>
        <v>0</v>
      </c>
      <c r="J19" s="56"/>
      <c r="K19" s="59">
        <f t="shared" si="2"/>
        <v>0</v>
      </c>
      <c r="L19" s="281"/>
      <c r="M19" s="102">
        <f t="shared" si="3"/>
        <v>0</v>
      </c>
      <c r="N19" s="65"/>
    </row>
    <row r="20" spans="2:14" ht="15.75" thickBot="1" x14ac:dyDescent="0.3">
      <c r="B20" s="66">
        <v>14</v>
      </c>
      <c r="C20" s="67"/>
      <c r="D20" s="67"/>
      <c r="E20" s="68"/>
      <c r="F20" s="67"/>
      <c r="G20" s="67"/>
      <c r="H20" s="69" t="e">
        <f t="shared" si="0"/>
        <v>#DIV/0!</v>
      </c>
      <c r="I20" s="67">
        <f t="shared" si="1"/>
        <v>0</v>
      </c>
      <c r="J20" s="70"/>
      <c r="K20" s="100">
        <f t="shared" si="2"/>
        <v>0</v>
      </c>
      <c r="L20" s="283"/>
      <c r="M20" s="103">
        <f t="shared" si="3"/>
        <v>0</v>
      </c>
      <c r="N20" s="71"/>
    </row>
    <row r="21" spans="2:14" x14ac:dyDescent="0.25">
      <c r="H21" s="34"/>
      <c r="M21" s="34"/>
    </row>
    <row r="22" spans="2:14" ht="16.5" thickBot="1" x14ac:dyDescent="0.3">
      <c r="H22" s="34"/>
      <c r="I22" s="425" t="s">
        <v>50</v>
      </c>
      <c r="J22" s="425"/>
      <c r="K22" s="49">
        <f>SUM(K7:K20)</f>
        <v>0</v>
      </c>
      <c r="L22" s="53"/>
      <c r="M22" s="47">
        <f>SUM(M7:M20)</f>
        <v>0</v>
      </c>
      <c r="N22" s="46"/>
    </row>
    <row r="23" spans="2:14" ht="15.75" thickTop="1" x14ac:dyDescent="0.25">
      <c r="H23" s="34"/>
      <c r="M23" s="34"/>
    </row>
    <row r="24" spans="2:14" x14ac:dyDescent="0.25">
      <c r="H24" s="34"/>
      <c r="M24" s="34"/>
    </row>
    <row r="26" spans="2:14" s="44" customFormat="1" x14ac:dyDescent="0.25">
      <c r="B26" s="44" t="s">
        <v>47</v>
      </c>
      <c r="E26" s="52"/>
      <c r="J26" s="50"/>
      <c r="K26" s="50"/>
      <c r="L26" s="52"/>
    </row>
    <row r="27" spans="2:14" s="44" customFormat="1" x14ac:dyDescent="0.25">
      <c r="B27" s="44" t="s">
        <v>46</v>
      </c>
      <c r="E27" s="52"/>
      <c r="J27" s="50"/>
      <c r="K27" s="50"/>
      <c r="L27" s="52"/>
    </row>
    <row r="29" spans="2:14" s="276" customFormat="1" ht="18.75" customHeight="1" x14ac:dyDescent="0.35">
      <c r="B29" s="280" t="s">
        <v>151</v>
      </c>
      <c r="C29" s="277"/>
      <c r="E29" s="278"/>
      <c r="J29" s="279"/>
      <c r="K29" s="279"/>
      <c r="L29" s="278"/>
    </row>
    <row r="30" spans="2:14" ht="8.25" customHeight="1" thickBot="1" x14ac:dyDescent="0.3"/>
    <row r="31" spans="2:14" s="60" customFormat="1" ht="30" customHeight="1" thickBot="1" x14ac:dyDescent="0.4">
      <c r="B31" s="82"/>
      <c r="C31" s="82"/>
      <c r="D31" s="429" t="s">
        <v>37</v>
      </c>
      <c r="E31" s="430"/>
      <c r="F31" s="430"/>
      <c r="G31" s="430"/>
      <c r="H31" s="431"/>
      <c r="I31" s="426" t="s">
        <v>38</v>
      </c>
      <c r="J31" s="427"/>
      <c r="K31" s="427"/>
      <c r="L31" s="427"/>
      <c r="M31" s="428"/>
      <c r="N31" s="83"/>
    </row>
    <row r="32" spans="2:14" s="58" customFormat="1" ht="93" customHeight="1" thickBot="1" x14ac:dyDescent="0.3">
      <c r="B32" s="73" t="s">
        <v>34</v>
      </c>
      <c r="C32" s="73" t="s">
        <v>35</v>
      </c>
      <c r="D32" s="73" t="s">
        <v>43</v>
      </c>
      <c r="E32" s="76" t="s">
        <v>39</v>
      </c>
      <c r="F32" s="73" t="s">
        <v>36</v>
      </c>
      <c r="G32" s="73" t="s">
        <v>48</v>
      </c>
      <c r="H32" s="73" t="s">
        <v>49</v>
      </c>
      <c r="I32" s="79" t="s">
        <v>44</v>
      </c>
      <c r="J32" s="80" t="s">
        <v>40</v>
      </c>
      <c r="K32" s="80" t="s">
        <v>41</v>
      </c>
      <c r="L32" s="76" t="s">
        <v>45</v>
      </c>
      <c r="M32" s="73" t="s">
        <v>42</v>
      </c>
      <c r="N32" s="73" t="s">
        <v>7</v>
      </c>
    </row>
    <row r="33" spans="2:14" x14ac:dyDescent="0.25">
      <c r="B33" s="72">
        <v>1</v>
      </c>
      <c r="C33" s="74"/>
      <c r="D33" s="74"/>
      <c r="E33" s="75"/>
      <c r="F33" s="74"/>
      <c r="G33" s="74"/>
      <c r="H33" s="77" t="e">
        <f>F33/G33</f>
        <v>#DIV/0!</v>
      </c>
      <c r="I33" s="74">
        <f>F33*0.87</f>
        <v>0</v>
      </c>
      <c r="J33" s="78"/>
      <c r="K33" s="99">
        <f>I33*J33</f>
        <v>0</v>
      </c>
      <c r="L33" s="75"/>
      <c r="M33" s="101">
        <f>K33/3000000</f>
        <v>0</v>
      </c>
      <c r="N33" s="65"/>
    </row>
    <row r="34" spans="2:14" x14ac:dyDescent="0.25">
      <c r="B34" s="64">
        <v>2</v>
      </c>
      <c r="C34" s="54"/>
      <c r="D34" s="54"/>
      <c r="E34" s="55"/>
      <c r="F34" s="54"/>
      <c r="G34" s="54"/>
      <c r="H34" s="57" t="e">
        <f t="shared" ref="H34:H46" si="4">F34/G34</f>
        <v>#DIV/0!</v>
      </c>
      <c r="I34" s="54">
        <f t="shared" ref="I34:I46" si="5">F34*0.87</f>
        <v>0</v>
      </c>
      <c r="J34" s="56"/>
      <c r="K34" s="59">
        <f t="shared" ref="K34:K46" si="6">I34*J34</f>
        <v>0</v>
      </c>
      <c r="L34" s="55"/>
      <c r="M34" s="102">
        <f t="shared" ref="M34:M46" si="7">K34/3000000</f>
        <v>0</v>
      </c>
      <c r="N34" s="65"/>
    </row>
    <row r="35" spans="2:14" x14ac:dyDescent="0.25">
      <c r="B35" s="64">
        <v>3</v>
      </c>
      <c r="C35" s="54"/>
      <c r="D35" s="54"/>
      <c r="E35" s="55"/>
      <c r="F35" s="54"/>
      <c r="G35" s="54"/>
      <c r="H35" s="57" t="e">
        <f t="shared" si="4"/>
        <v>#DIV/0!</v>
      </c>
      <c r="I35" s="54">
        <f t="shared" si="5"/>
        <v>0</v>
      </c>
      <c r="J35" s="56"/>
      <c r="K35" s="59">
        <f t="shared" si="6"/>
        <v>0</v>
      </c>
      <c r="L35" s="55"/>
      <c r="M35" s="102">
        <f t="shared" si="7"/>
        <v>0</v>
      </c>
      <c r="N35" s="65"/>
    </row>
    <row r="36" spans="2:14" x14ac:dyDescent="0.25">
      <c r="B36" s="64">
        <v>4</v>
      </c>
      <c r="C36" s="54"/>
      <c r="D36" s="54"/>
      <c r="E36" s="55"/>
      <c r="F36" s="54"/>
      <c r="G36" s="54"/>
      <c r="H36" s="57" t="e">
        <f t="shared" si="4"/>
        <v>#DIV/0!</v>
      </c>
      <c r="I36" s="54">
        <f t="shared" si="5"/>
        <v>0</v>
      </c>
      <c r="J36" s="56"/>
      <c r="K36" s="59">
        <f t="shared" si="6"/>
        <v>0</v>
      </c>
      <c r="L36" s="55"/>
      <c r="M36" s="102">
        <f t="shared" si="7"/>
        <v>0</v>
      </c>
      <c r="N36" s="65"/>
    </row>
    <row r="37" spans="2:14" x14ac:dyDescent="0.25">
      <c r="B37" s="64">
        <v>5</v>
      </c>
      <c r="C37" s="45"/>
      <c r="D37" s="54"/>
      <c r="E37" s="55"/>
      <c r="F37" s="54"/>
      <c r="G37" s="54"/>
      <c r="H37" s="57" t="e">
        <f t="shared" si="4"/>
        <v>#DIV/0!</v>
      </c>
      <c r="I37" s="54">
        <f t="shared" si="5"/>
        <v>0</v>
      </c>
      <c r="J37" s="56"/>
      <c r="K37" s="59">
        <f t="shared" si="6"/>
        <v>0</v>
      </c>
      <c r="L37" s="55"/>
      <c r="M37" s="102">
        <f t="shared" si="7"/>
        <v>0</v>
      </c>
      <c r="N37" s="65"/>
    </row>
    <row r="38" spans="2:14" x14ac:dyDescent="0.25">
      <c r="B38" s="64">
        <v>6</v>
      </c>
      <c r="C38" s="54"/>
      <c r="D38" s="54"/>
      <c r="E38" s="55"/>
      <c r="F38" s="54"/>
      <c r="G38" s="54"/>
      <c r="H38" s="57" t="e">
        <f t="shared" si="4"/>
        <v>#DIV/0!</v>
      </c>
      <c r="I38" s="54">
        <f t="shared" si="5"/>
        <v>0</v>
      </c>
      <c r="J38" s="56"/>
      <c r="K38" s="59">
        <f t="shared" si="6"/>
        <v>0</v>
      </c>
      <c r="L38" s="55"/>
      <c r="M38" s="102">
        <f t="shared" si="7"/>
        <v>0</v>
      </c>
      <c r="N38" s="65"/>
    </row>
    <row r="39" spans="2:14" x14ac:dyDescent="0.25">
      <c r="B39" s="64">
        <v>7</v>
      </c>
      <c r="C39" s="54"/>
      <c r="D39" s="54"/>
      <c r="E39" s="55"/>
      <c r="F39" s="54"/>
      <c r="G39" s="54"/>
      <c r="H39" s="57" t="e">
        <f t="shared" si="4"/>
        <v>#DIV/0!</v>
      </c>
      <c r="I39" s="54">
        <f t="shared" si="5"/>
        <v>0</v>
      </c>
      <c r="J39" s="56"/>
      <c r="K39" s="59">
        <f t="shared" si="6"/>
        <v>0</v>
      </c>
      <c r="L39" s="55"/>
      <c r="M39" s="102">
        <f t="shared" si="7"/>
        <v>0</v>
      </c>
      <c r="N39" s="65"/>
    </row>
    <row r="40" spans="2:14" x14ac:dyDescent="0.25">
      <c r="B40" s="64">
        <v>8</v>
      </c>
      <c r="C40" s="54"/>
      <c r="D40" s="54"/>
      <c r="E40" s="55"/>
      <c r="F40" s="54"/>
      <c r="G40" s="54"/>
      <c r="H40" s="57" t="e">
        <f t="shared" si="4"/>
        <v>#DIV/0!</v>
      </c>
      <c r="I40" s="54">
        <f t="shared" si="5"/>
        <v>0</v>
      </c>
      <c r="J40" s="56"/>
      <c r="K40" s="59">
        <f t="shared" si="6"/>
        <v>0</v>
      </c>
      <c r="L40" s="55"/>
      <c r="M40" s="102">
        <f t="shared" si="7"/>
        <v>0</v>
      </c>
      <c r="N40" s="65"/>
    </row>
    <row r="41" spans="2:14" x14ac:dyDescent="0.25">
      <c r="B41" s="64">
        <v>9</v>
      </c>
      <c r="C41" s="54"/>
      <c r="D41" s="54"/>
      <c r="E41" s="55"/>
      <c r="F41" s="54"/>
      <c r="G41" s="54"/>
      <c r="H41" s="57" t="e">
        <f t="shared" si="4"/>
        <v>#DIV/0!</v>
      </c>
      <c r="I41" s="54">
        <f t="shared" si="5"/>
        <v>0</v>
      </c>
      <c r="J41" s="56"/>
      <c r="K41" s="59">
        <f t="shared" si="6"/>
        <v>0</v>
      </c>
      <c r="L41" s="281"/>
      <c r="M41" s="102">
        <f t="shared" si="7"/>
        <v>0</v>
      </c>
      <c r="N41" s="65"/>
    </row>
    <row r="42" spans="2:14" x14ac:dyDescent="0.25">
      <c r="B42" s="64">
        <v>10</v>
      </c>
      <c r="C42" s="54"/>
      <c r="D42" s="54"/>
      <c r="E42" s="55"/>
      <c r="F42" s="54"/>
      <c r="G42" s="54"/>
      <c r="H42" s="57" t="e">
        <f t="shared" si="4"/>
        <v>#DIV/0!</v>
      </c>
      <c r="I42" s="54">
        <f t="shared" si="5"/>
        <v>0</v>
      </c>
      <c r="J42" s="56"/>
      <c r="K42" s="59">
        <f t="shared" si="6"/>
        <v>0</v>
      </c>
      <c r="L42" s="55"/>
      <c r="M42" s="102">
        <f t="shared" si="7"/>
        <v>0</v>
      </c>
      <c r="N42" s="65"/>
    </row>
    <row r="43" spans="2:14" x14ac:dyDescent="0.25">
      <c r="B43" s="64">
        <v>11</v>
      </c>
      <c r="C43" s="54"/>
      <c r="D43" s="54"/>
      <c r="E43" s="55"/>
      <c r="F43" s="54"/>
      <c r="G43" s="54"/>
      <c r="H43" s="57" t="e">
        <f t="shared" si="4"/>
        <v>#DIV/0!</v>
      </c>
      <c r="I43" s="54">
        <f t="shared" si="5"/>
        <v>0</v>
      </c>
      <c r="J43" s="56"/>
      <c r="K43" s="59">
        <f t="shared" si="6"/>
        <v>0</v>
      </c>
      <c r="L43" s="55"/>
      <c r="M43" s="102">
        <f t="shared" si="7"/>
        <v>0</v>
      </c>
      <c r="N43" s="65"/>
    </row>
    <row r="44" spans="2:14" x14ac:dyDescent="0.25">
      <c r="B44" s="64">
        <v>12</v>
      </c>
      <c r="C44" s="54"/>
      <c r="D44" s="54"/>
      <c r="E44" s="55"/>
      <c r="F44" s="54"/>
      <c r="G44" s="54"/>
      <c r="H44" s="57" t="e">
        <f t="shared" si="4"/>
        <v>#DIV/0!</v>
      </c>
      <c r="I44" s="54">
        <f t="shared" si="5"/>
        <v>0</v>
      </c>
      <c r="J44" s="56"/>
      <c r="K44" s="59">
        <f t="shared" si="6"/>
        <v>0</v>
      </c>
      <c r="L44" s="55"/>
      <c r="M44" s="102">
        <f t="shared" si="7"/>
        <v>0</v>
      </c>
      <c r="N44" s="65"/>
    </row>
    <row r="45" spans="2:14" x14ac:dyDescent="0.25">
      <c r="B45" s="64">
        <v>13</v>
      </c>
      <c r="C45" s="54"/>
      <c r="D45" s="54"/>
      <c r="E45" s="55"/>
      <c r="F45" s="54"/>
      <c r="G45" s="54"/>
      <c r="H45" s="57" t="e">
        <f t="shared" si="4"/>
        <v>#DIV/0!</v>
      </c>
      <c r="I45" s="54">
        <f t="shared" si="5"/>
        <v>0</v>
      </c>
      <c r="J45" s="56"/>
      <c r="K45" s="59">
        <f t="shared" si="6"/>
        <v>0</v>
      </c>
      <c r="L45" s="55"/>
      <c r="M45" s="102">
        <f t="shared" si="7"/>
        <v>0</v>
      </c>
      <c r="N45" s="65"/>
    </row>
    <row r="46" spans="2:14" ht="15.75" thickBot="1" x14ac:dyDescent="0.3">
      <c r="B46" s="66">
        <v>14</v>
      </c>
      <c r="C46" s="67"/>
      <c r="D46" s="67"/>
      <c r="E46" s="68"/>
      <c r="F46" s="67"/>
      <c r="G46" s="67"/>
      <c r="H46" s="69" t="e">
        <f t="shared" si="4"/>
        <v>#DIV/0!</v>
      </c>
      <c r="I46" s="67">
        <f t="shared" si="5"/>
        <v>0</v>
      </c>
      <c r="J46" s="70"/>
      <c r="K46" s="100">
        <f t="shared" si="6"/>
        <v>0</v>
      </c>
      <c r="L46" s="68"/>
      <c r="M46" s="103">
        <f t="shared" si="7"/>
        <v>0</v>
      </c>
      <c r="N46" s="71"/>
    </row>
    <row r="47" spans="2:14" x14ac:dyDescent="0.25">
      <c r="H47" s="34"/>
      <c r="M47" s="34"/>
    </row>
    <row r="48" spans="2:14" ht="16.5" thickBot="1" x14ac:dyDescent="0.3">
      <c r="H48" s="34"/>
      <c r="I48" s="425" t="s">
        <v>50</v>
      </c>
      <c r="J48" s="425"/>
      <c r="K48" s="49">
        <f>SUM(K33:K46)</f>
        <v>0</v>
      </c>
      <c r="L48" s="53"/>
      <c r="M48" s="47">
        <f>SUM(M33:M46)</f>
        <v>0</v>
      </c>
      <c r="N48" s="46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1"/>
  <sheetViews>
    <sheetView topLeftCell="F1" zoomScale="86" zoomScaleNormal="86" workbookViewId="0">
      <pane ySplit="6" topLeftCell="A10" activePane="bottomLeft" state="frozen"/>
      <selection pane="bottomLeft" activeCell="H31" sqref="H31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10.140625" style="2" customWidth="1"/>
    <col min="5" max="5" width="16" style="1" customWidth="1"/>
    <col min="6" max="6" width="9.28515625" style="1" customWidth="1"/>
    <col min="7" max="7" width="10.85546875" style="1" customWidth="1"/>
    <col min="8" max="8" width="6.5703125" style="1" bestFit="1" customWidth="1"/>
    <col min="9" max="9" width="9.42578125" style="1" customWidth="1"/>
    <col min="10" max="10" width="14.5703125" style="3" customWidth="1"/>
    <col min="11" max="11" width="7.85546875" style="40" customWidth="1"/>
    <col min="12" max="12" width="10.140625" style="2" bestFit="1" customWidth="1"/>
    <col min="13" max="13" width="9.140625" style="1"/>
    <col min="14" max="14" width="14.5703125" style="3" customWidth="1"/>
    <col min="15" max="15" width="13.28515625" style="36" bestFit="1" customWidth="1"/>
    <col min="16" max="16" width="11.42578125" style="34" bestFit="1" customWidth="1"/>
    <col min="17" max="17" width="12.140625" style="1" customWidth="1"/>
    <col min="18" max="18" width="9.7109375" style="48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1" customFormat="1" ht="26.25" x14ac:dyDescent="0.4">
      <c r="D1" s="113" t="s">
        <v>55</v>
      </c>
      <c r="J1" s="23"/>
      <c r="K1" s="39"/>
      <c r="L1" s="22"/>
      <c r="N1" s="23"/>
      <c r="O1" s="35"/>
      <c r="P1" s="33"/>
      <c r="R1" s="109"/>
    </row>
    <row r="2" spans="2:21" s="21" customFormat="1" ht="7.5" customHeight="1" x14ac:dyDescent="0.4">
      <c r="D2" s="113"/>
      <c r="J2" s="23"/>
      <c r="K2" s="39"/>
      <c r="L2" s="22"/>
      <c r="N2" s="23"/>
      <c r="O2" s="35"/>
      <c r="P2" s="33"/>
      <c r="R2" s="109"/>
    </row>
    <row r="3" spans="2:21" s="216" customFormat="1" x14ac:dyDescent="0.25">
      <c r="D3" s="94"/>
      <c r="E3" s="94"/>
      <c r="F3" s="94" t="s">
        <v>19</v>
      </c>
      <c r="G3" s="94"/>
      <c r="H3" s="94"/>
      <c r="I3" s="95"/>
      <c r="J3" s="95">
        <f>'Модельный портфель'!D3</f>
        <v>43531</v>
      </c>
      <c r="K3" s="218"/>
      <c r="L3" s="94"/>
      <c r="N3" s="217"/>
      <c r="O3" s="219"/>
      <c r="P3" s="220"/>
      <c r="R3" s="221"/>
    </row>
    <row r="4" spans="2:21" ht="7.5" customHeight="1" thickBot="1" x14ac:dyDescent="0.3"/>
    <row r="5" spans="2:21" s="60" customFormat="1" ht="61.5" customHeight="1" thickBot="1" x14ac:dyDescent="0.4">
      <c r="B5" s="123"/>
      <c r="C5" s="124"/>
      <c r="D5" s="445" t="s">
        <v>21</v>
      </c>
      <c r="E5" s="446"/>
      <c r="F5" s="446"/>
      <c r="G5" s="446"/>
      <c r="H5" s="446"/>
      <c r="I5" s="446"/>
      <c r="J5" s="446"/>
      <c r="K5" s="447"/>
      <c r="L5" s="435" t="s">
        <v>22</v>
      </c>
      <c r="M5" s="436"/>
      <c r="N5" s="437"/>
      <c r="O5" s="438" t="s">
        <v>23</v>
      </c>
      <c r="P5" s="439"/>
      <c r="Q5" s="442" t="s">
        <v>33</v>
      </c>
      <c r="R5" s="443"/>
      <c r="S5" s="444"/>
      <c r="T5" s="440" t="s">
        <v>24</v>
      </c>
      <c r="U5" s="441"/>
    </row>
    <row r="6" spans="2:21" s="24" customFormat="1" ht="100.5" customHeight="1" thickBot="1" x14ac:dyDescent="0.35">
      <c r="B6" s="29"/>
      <c r="C6" s="25" t="s">
        <v>0</v>
      </c>
      <c r="D6" s="125" t="s">
        <v>1</v>
      </c>
      <c r="E6" s="126" t="s">
        <v>2</v>
      </c>
      <c r="F6" s="29" t="s">
        <v>133</v>
      </c>
      <c r="G6" s="127" t="s">
        <v>6</v>
      </c>
      <c r="H6" s="128" t="s">
        <v>5</v>
      </c>
      <c r="I6" s="129" t="s">
        <v>11</v>
      </c>
      <c r="J6" s="31" t="s">
        <v>20</v>
      </c>
      <c r="K6" s="130" t="s">
        <v>32</v>
      </c>
      <c r="L6" s="132" t="s">
        <v>1</v>
      </c>
      <c r="M6" s="133" t="s">
        <v>4</v>
      </c>
      <c r="N6" s="134" t="s">
        <v>20</v>
      </c>
      <c r="O6" s="135" t="s">
        <v>29</v>
      </c>
      <c r="P6" s="136" t="s">
        <v>30</v>
      </c>
      <c r="Q6" s="131" t="s">
        <v>27</v>
      </c>
      <c r="R6" s="137" t="s">
        <v>28</v>
      </c>
      <c r="S6" s="138" t="s">
        <v>54</v>
      </c>
      <c r="T6" s="122" t="s">
        <v>25</v>
      </c>
      <c r="U6" s="139" t="s">
        <v>26</v>
      </c>
    </row>
    <row r="7" spans="2:21" s="108" customFormat="1" ht="5.25" customHeight="1" thickBot="1" x14ac:dyDescent="0.35">
      <c r="B7" s="114"/>
      <c r="C7" s="107"/>
      <c r="D7" s="115"/>
      <c r="E7" s="116"/>
      <c r="F7" s="116"/>
      <c r="G7" s="116"/>
      <c r="H7" s="116"/>
      <c r="I7" s="116"/>
      <c r="J7" s="117"/>
      <c r="K7" s="118"/>
      <c r="L7" s="115"/>
      <c r="M7" s="116"/>
      <c r="N7" s="117"/>
      <c r="O7" s="119"/>
      <c r="P7" s="120"/>
      <c r="Q7" s="116"/>
      <c r="R7" s="121"/>
      <c r="S7" s="116"/>
      <c r="T7" s="116"/>
      <c r="U7" s="140"/>
    </row>
    <row r="8" spans="2:21" ht="34.5" customHeight="1" x14ac:dyDescent="0.25">
      <c r="B8" s="432" t="s">
        <v>52</v>
      </c>
      <c r="C8" s="298">
        <v>1</v>
      </c>
      <c r="D8" s="303">
        <v>43465</v>
      </c>
      <c r="E8" s="225" t="s">
        <v>141</v>
      </c>
      <c r="F8" s="225">
        <v>186.3</v>
      </c>
      <c r="G8" s="225">
        <v>10</v>
      </c>
      <c r="H8" s="225">
        <v>1815</v>
      </c>
      <c r="I8" s="304">
        <f>H8*G8</f>
        <v>18150</v>
      </c>
      <c r="J8" s="305">
        <f>I8*F8</f>
        <v>3381345</v>
      </c>
      <c r="K8" s="306">
        <v>1</v>
      </c>
      <c r="L8" s="341">
        <v>43528</v>
      </c>
      <c r="M8" s="307">
        <v>205.67</v>
      </c>
      <c r="N8" s="308">
        <f>I8*M8</f>
        <v>3732910.5</v>
      </c>
      <c r="O8" s="309">
        <f>N8-J8</f>
        <v>351565.5</v>
      </c>
      <c r="P8" s="310">
        <f>O8/J8</f>
        <v>0.10397208803005904</v>
      </c>
      <c r="Q8" s="307">
        <v>0</v>
      </c>
      <c r="R8" s="311">
        <f>Q8*I8</f>
        <v>0</v>
      </c>
      <c r="S8" s="310">
        <f>Q8/F8</f>
        <v>0</v>
      </c>
      <c r="T8" s="312">
        <f>O8+R8</f>
        <v>351565.5</v>
      </c>
      <c r="U8" s="313">
        <f>T8/J8</f>
        <v>0.10397208803005904</v>
      </c>
    </row>
    <row r="9" spans="2:21" ht="14.25" customHeight="1" x14ac:dyDescent="0.25">
      <c r="B9" s="433"/>
      <c r="C9" s="393">
        <v>2</v>
      </c>
      <c r="D9" s="303">
        <v>43528</v>
      </c>
      <c r="E9" s="225" t="s">
        <v>141</v>
      </c>
      <c r="F9" s="225">
        <v>205.67</v>
      </c>
      <c r="G9" s="225">
        <v>10</v>
      </c>
      <c r="H9" s="225">
        <v>-1815</v>
      </c>
      <c r="I9" s="304">
        <f>H9*G9</f>
        <v>-18150</v>
      </c>
      <c r="J9" s="305">
        <f>I9*F9</f>
        <v>-3732910.5</v>
      </c>
      <c r="K9" s="306">
        <v>1</v>
      </c>
      <c r="L9" s="341">
        <v>43537</v>
      </c>
      <c r="M9" s="307">
        <v>204</v>
      </c>
      <c r="N9" s="308">
        <f t="shared" ref="N9:N11" si="0">I9*M9</f>
        <v>-3702600</v>
      </c>
      <c r="O9" s="309">
        <f>N9-J9</f>
        <v>30310.5</v>
      </c>
      <c r="P9" s="310">
        <f>-O9/J9</f>
        <v>8.119803568823844E-3</v>
      </c>
      <c r="Q9" s="307">
        <v>0</v>
      </c>
      <c r="R9" s="394">
        <f>-Q9*I9</f>
        <v>0</v>
      </c>
      <c r="S9" s="310">
        <f t="shared" ref="S9:S11" si="1">Q9/F9</f>
        <v>0</v>
      </c>
      <c r="T9" s="312">
        <f t="shared" ref="T9:T11" si="2">O9+R9</f>
        <v>30310.5</v>
      </c>
      <c r="U9" s="313">
        <f>-T9/J9</f>
        <v>8.119803568823844E-3</v>
      </c>
    </row>
    <row r="10" spans="2:21" ht="30" x14ac:dyDescent="0.25">
      <c r="B10" s="433"/>
      <c r="C10" s="302">
        <v>3</v>
      </c>
      <c r="D10" s="303">
        <v>43528</v>
      </c>
      <c r="E10" s="225" t="s">
        <v>165</v>
      </c>
      <c r="F10" s="225">
        <v>0</v>
      </c>
      <c r="G10" s="225">
        <v>10</v>
      </c>
      <c r="H10" s="225">
        <v>0</v>
      </c>
      <c r="I10" s="304">
        <v>0</v>
      </c>
      <c r="J10" s="305">
        <v>0</v>
      </c>
      <c r="K10" s="306"/>
      <c r="L10" s="341">
        <v>43537</v>
      </c>
      <c r="M10" s="307">
        <v>0</v>
      </c>
      <c r="N10" s="308">
        <f t="shared" si="0"/>
        <v>0</v>
      </c>
      <c r="O10" s="309">
        <v>-10125</v>
      </c>
      <c r="P10" s="310"/>
      <c r="Q10" s="307">
        <v>0</v>
      </c>
      <c r="R10" s="394">
        <f t="shared" ref="R10" si="3">-Q10*I10</f>
        <v>0</v>
      </c>
      <c r="S10" s="310" t="e">
        <f t="shared" si="1"/>
        <v>#DIV/0!</v>
      </c>
      <c r="T10" s="312">
        <f t="shared" si="2"/>
        <v>-10125</v>
      </c>
      <c r="U10" s="313" t="e">
        <f>-T10/J10</f>
        <v>#DIV/0!</v>
      </c>
    </row>
    <row r="11" spans="2:21" ht="21" customHeight="1" x14ac:dyDescent="0.25">
      <c r="B11" s="433"/>
      <c r="C11" s="393">
        <v>4</v>
      </c>
      <c r="D11" s="303">
        <v>43537</v>
      </c>
      <c r="E11" s="225" t="s">
        <v>166</v>
      </c>
      <c r="F11" s="225">
        <v>13936</v>
      </c>
      <c r="G11" s="225">
        <v>1</v>
      </c>
      <c r="H11" s="225">
        <v>-269</v>
      </c>
      <c r="I11" s="304">
        <f>H11*G11</f>
        <v>-269</v>
      </c>
      <c r="J11" s="305">
        <f>I11*F11</f>
        <v>-3748784</v>
      </c>
      <c r="K11" s="306">
        <v>1</v>
      </c>
      <c r="L11" s="341">
        <v>43549</v>
      </c>
      <c r="M11" s="307">
        <v>14298</v>
      </c>
      <c r="N11" s="308">
        <f t="shared" si="0"/>
        <v>-3846162</v>
      </c>
      <c r="O11" s="309">
        <f>N11-J11</f>
        <v>-97378</v>
      </c>
      <c r="P11" s="310">
        <f>-O11/J11</f>
        <v>-2.597588978185993E-2</v>
      </c>
      <c r="Q11" s="307">
        <v>0</v>
      </c>
      <c r="R11" s="394">
        <f>-Q11*I11</f>
        <v>0</v>
      </c>
      <c r="S11" s="310">
        <f t="shared" si="1"/>
        <v>0</v>
      </c>
      <c r="T11" s="312">
        <f t="shared" si="2"/>
        <v>-97378</v>
      </c>
      <c r="U11" s="313">
        <f>-T11/J11</f>
        <v>-2.597588978185993E-2</v>
      </c>
    </row>
    <row r="12" spans="2:21" ht="30.75" thickBot="1" x14ac:dyDescent="0.3">
      <c r="B12" s="433"/>
      <c r="C12" s="302">
        <v>3</v>
      </c>
      <c r="D12" s="303">
        <v>43537</v>
      </c>
      <c r="E12" s="225" t="s">
        <v>165</v>
      </c>
      <c r="F12" s="225">
        <v>0</v>
      </c>
      <c r="G12" s="225">
        <v>10</v>
      </c>
      <c r="H12" s="225">
        <v>0</v>
      </c>
      <c r="I12" s="304">
        <v>0</v>
      </c>
      <c r="J12" s="305">
        <v>0</v>
      </c>
      <c r="K12" s="306"/>
      <c r="L12" s="341">
        <v>43549</v>
      </c>
      <c r="M12" s="307">
        <v>0</v>
      </c>
      <c r="N12" s="308">
        <f t="shared" ref="N12" si="4">I12*M12</f>
        <v>0</v>
      </c>
      <c r="O12" s="309">
        <v>-13557</v>
      </c>
      <c r="P12" s="310"/>
      <c r="Q12" s="307">
        <v>0</v>
      </c>
      <c r="R12" s="394">
        <f t="shared" ref="R12" si="5">-Q12*I12</f>
        <v>0</v>
      </c>
      <c r="S12" s="310" t="e">
        <f t="shared" ref="S12" si="6">Q12/F12</f>
        <v>#DIV/0!</v>
      </c>
      <c r="T12" s="312">
        <f t="shared" ref="T12" si="7">O12+R12</f>
        <v>-13557</v>
      </c>
      <c r="U12" s="313" t="e">
        <f>-T12/J12</f>
        <v>#DIV/0!</v>
      </c>
    </row>
    <row r="13" spans="2:21" ht="6" customHeight="1" x14ac:dyDescent="0.25">
      <c r="B13" s="433"/>
      <c r="C13" s="298"/>
      <c r="D13" s="299"/>
      <c r="E13" s="304"/>
      <c r="F13" s="304"/>
      <c r="G13" s="304"/>
      <c r="H13" s="304"/>
      <c r="I13" s="304"/>
      <c r="J13" s="305"/>
      <c r="K13" s="306"/>
      <c r="L13" s="339"/>
      <c r="M13" s="307"/>
      <c r="N13" s="308"/>
      <c r="O13" s="309"/>
      <c r="P13" s="310"/>
      <c r="Q13" s="307"/>
      <c r="R13" s="311"/>
      <c r="S13" s="310"/>
      <c r="T13" s="312"/>
      <c r="U13" s="313"/>
    </row>
    <row r="14" spans="2:21" ht="6" customHeight="1" x14ac:dyDescent="0.25">
      <c r="B14" s="433"/>
      <c r="C14" s="340"/>
      <c r="D14" s="303"/>
      <c r="E14" s="225"/>
      <c r="F14" s="225"/>
      <c r="G14" s="225"/>
      <c r="H14" s="225"/>
      <c r="I14" s="304"/>
      <c r="J14" s="305"/>
      <c r="K14" s="306"/>
      <c r="L14" s="341"/>
      <c r="M14" s="307"/>
      <c r="N14" s="308"/>
      <c r="O14" s="309"/>
      <c r="P14" s="310"/>
      <c r="Q14" s="307"/>
      <c r="R14" s="311"/>
      <c r="S14" s="310"/>
      <c r="T14" s="312"/>
      <c r="U14" s="313"/>
    </row>
    <row r="15" spans="2:21" ht="6" customHeight="1" thickBot="1" x14ac:dyDescent="0.3">
      <c r="B15" s="433"/>
      <c r="C15" s="340"/>
      <c r="D15" s="303"/>
      <c r="E15" s="225"/>
      <c r="F15" s="225"/>
      <c r="G15" s="225"/>
      <c r="H15" s="225"/>
      <c r="I15" s="304"/>
      <c r="J15" s="305"/>
      <c r="K15" s="306"/>
      <c r="L15" s="341"/>
      <c r="M15" s="307"/>
      <c r="N15" s="308"/>
      <c r="O15" s="309"/>
      <c r="P15" s="310"/>
      <c r="Q15" s="307"/>
      <c r="R15" s="311"/>
      <c r="S15" s="310"/>
      <c r="T15" s="312"/>
      <c r="U15" s="313"/>
    </row>
    <row r="16" spans="2:21" ht="6" customHeight="1" x14ac:dyDescent="0.25">
      <c r="B16" s="433"/>
      <c r="C16" s="340"/>
      <c r="D16" s="299"/>
      <c r="E16" s="304"/>
      <c r="F16" s="304"/>
      <c r="G16" s="344"/>
      <c r="H16" s="304"/>
      <c r="I16" s="304"/>
      <c r="J16" s="305"/>
      <c r="K16" s="306"/>
      <c r="L16" s="341"/>
      <c r="M16" s="307"/>
      <c r="N16" s="308"/>
      <c r="O16" s="309"/>
      <c r="P16" s="310"/>
      <c r="Q16" s="307"/>
      <c r="R16" s="311"/>
      <c r="S16" s="310"/>
      <c r="T16" s="312"/>
      <c r="U16" s="313"/>
    </row>
    <row r="17" spans="2:21" ht="6" customHeight="1" x14ac:dyDescent="0.25">
      <c r="B17" s="433"/>
      <c r="C17" s="340"/>
      <c r="D17" s="303"/>
      <c r="E17" s="225"/>
      <c r="F17" s="225"/>
      <c r="G17" s="225"/>
      <c r="H17" s="225"/>
      <c r="I17" s="304"/>
      <c r="J17" s="305"/>
      <c r="K17" s="306"/>
      <c r="L17" s="341"/>
      <c r="M17" s="307"/>
      <c r="N17" s="308"/>
      <c r="O17" s="309"/>
      <c r="P17" s="310"/>
      <c r="Q17" s="307"/>
      <c r="R17" s="311"/>
      <c r="S17" s="310"/>
      <c r="T17" s="312"/>
      <c r="U17" s="313"/>
    </row>
    <row r="18" spans="2:21" ht="6" customHeight="1" x14ac:dyDescent="0.25">
      <c r="B18" s="433"/>
      <c r="C18" s="340"/>
      <c r="D18" s="303"/>
      <c r="E18" s="225"/>
      <c r="F18" s="225"/>
      <c r="G18" s="225"/>
      <c r="H18" s="225"/>
      <c r="I18" s="304"/>
      <c r="J18" s="305"/>
      <c r="K18" s="306"/>
      <c r="L18" s="341"/>
      <c r="M18" s="307"/>
      <c r="N18" s="308"/>
      <c r="O18" s="309"/>
      <c r="P18" s="310"/>
      <c r="Q18" s="307"/>
      <c r="R18" s="311"/>
      <c r="S18" s="310"/>
      <c r="T18" s="312"/>
      <c r="U18" s="313"/>
    </row>
    <row r="19" spans="2:21" ht="6" customHeight="1" x14ac:dyDescent="0.25">
      <c r="B19" s="433"/>
      <c r="C19" s="340"/>
      <c r="D19" s="303"/>
      <c r="E19" s="225"/>
      <c r="F19" s="225"/>
      <c r="G19" s="225"/>
      <c r="H19" s="225"/>
      <c r="I19" s="304"/>
      <c r="J19" s="305"/>
      <c r="K19" s="306"/>
      <c r="L19" s="341"/>
      <c r="M19" s="307"/>
      <c r="N19" s="308"/>
      <c r="O19" s="309"/>
      <c r="P19" s="310"/>
      <c r="Q19" s="307"/>
      <c r="R19" s="311"/>
      <c r="S19" s="310"/>
      <c r="T19" s="312"/>
      <c r="U19" s="313"/>
    </row>
    <row r="20" spans="2:21" ht="6" customHeight="1" x14ac:dyDescent="0.25">
      <c r="B20" s="433"/>
      <c r="C20" s="340"/>
      <c r="D20" s="303"/>
      <c r="E20" s="225"/>
      <c r="F20" s="225"/>
      <c r="G20" s="225"/>
      <c r="H20" s="225"/>
      <c r="I20" s="304"/>
      <c r="J20" s="305"/>
      <c r="K20" s="306"/>
      <c r="L20" s="341"/>
      <c r="M20" s="307"/>
      <c r="N20" s="308"/>
      <c r="O20" s="309"/>
      <c r="P20" s="310"/>
      <c r="Q20" s="307"/>
      <c r="R20" s="311"/>
      <c r="S20" s="310"/>
      <c r="T20" s="312"/>
      <c r="U20" s="313"/>
    </row>
    <row r="21" spans="2:21" ht="6" customHeight="1" x14ac:dyDescent="0.25">
      <c r="B21" s="433"/>
      <c r="C21" s="340"/>
      <c r="D21" s="303"/>
      <c r="E21" s="225"/>
      <c r="F21" s="225"/>
      <c r="G21" s="225"/>
      <c r="H21" s="225"/>
      <c r="I21" s="304"/>
      <c r="J21" s="305"/>
      <c r="K21" s="306"/>
      <c r="L21" s="341"/>
      <c r="M21" s="307"/>
      <c r="N21" s="308"/>
      <c r="O21" s="309"/>
      <c r="P21" s="310"/>
      <c r="Q21" s="307"/>
      <c r="R21" s="311"/>
      <c r="S21" s="310"/>
      <c r="T21" s="312"/>
      <c r="U21" s="313"/>
    </row>
    <row r="22" spans="2:21" ht="6" customHeight="1" x14ac:dyDescent="0.25">
      <c r="B22" s="433"/>
      <c r="C22" s="392"/>
      <c r="D22" s="303"/>
      <c r="E22" s="225"/>
      <c r="F22" s="225"/>
      <c r="G22" s="225"/>
      <c r="H22" s="225"/>
      <c r="I22" s="304"/>
      <c r="J22" s="305"/>
      <c r="K22" s="306"/>
      <c r="L22" s="341"/>
      <c r="M22" s="307"/>
      <c r="N22" s="308"/>
      <c r="O22" s="309"/>
      <c r="P22" s="310"/>
      <c r="Q22" s="307"/>
      <c r="R22" s="311"/>
      <c r="S22" s="310"/>
      <c r="T22" s="312"/>
      <c r="U22" s="313"/>
    </row>
    <row r="23" spans="2:21" ht="6" customHeight="1" x14ac:dyDescent="0.25">
      <c r="B23" s="433"/>
      <c r="C23" s="393"/>
      <c r="D23" s="303"/>
      <c r="E23" s="225"/>
      <c r="F23" s="225"/>
      <c r="G23" s="225"/>
      <c r="H23" s="225"/>
      <c r="I23" s="304"/>
      <c r="J23" s="305"/>
      <c r="K23" s="306"/>
      <c r="L23" s="341"/>
      <c r="M23" s="307"/>
      <c r="N23" s="308"/>
      <c r="O23" s="309"/>
      <c r="P23" s="310"/>
      <c r="Q23" s="307"/>
      <c r="R23" s="311"/>
      <c r="S23" s="310"/>
      <c r="T23" s="312"/>
      <c r="U23" s="313"/>
    </row>
    <row r="24" spans="2:21" ht="6" customHeight="1" x14ac:dyDescent="0.25">
      <c r="B24" s="433"/>
      <c r="C24" s="393"/>
      <c r="D24" s="303"/>
      <c r="E24" s="225"/>
      <c r="F24" s="225"/>
      <c r="G24" s="225"/>
      <c r="H24" s="225"/>
      <c r="I24" s="304"/>
      <c r="J24" s="305"/>
      <c r="K24" s="306"/>
      <c r="L24" s="341"/>
      <c r="M24" s="307"/>
      <c r="N24" s="308"/>
      <c r="O24" s="309"/>
      <c r="P24" s="310"/>
      <c r="Q24" s="307"/>
      <c r="R24" s="394"/>
      <c r="S24" s="310"/>
      <c r="T24" s="312"/>
      <c r="U24" s="313"/>
    </row>
    <row r="25" spans="2:21" ht="6" customHeight="1" x14ac:dyDescent="0.25">
      <c r="B25" s="433"/>
      <c r="C25" s="395"/>
      <c r="D25" s="303"/>
      <c r="E25" s="225"/>
      <c r="F25" s="225"/>
      <c r="G25" s="225"/>
      <c r="H25" s="225"/>
      <c r="I25" s="304"/>
      <c r="J25" s="305"/>
      <c r="K25" s="306"/>
      <c r="L25" s="341"/>
      <c r="M25" s="307"/>
      <c r="N25" s="308"/>
      <c r="O25" s="309"/>
      <c r="P25" s="310"/>
      <c r="Q25" s="307"/>
      <c r="R25" s="394"/>
      <c r="S25" s="310"/>
      <c r="T25" s="312"/>
      <c r="U25" s="313"/>
    </row>
    <row r="26" spans="2:21" ht="6" customHeight="1" x14ac:dyDescent="0.25">
      <c r="B26" s="433"/>
      <c r="C26" s="393"/>
      <c r="D26" s="303"/>
      <c r="E26" s="225"/>
      <c r="F26" s="225"/>
      <c r="G26" s="225"/>
      <c r="H26" s="225"/>
      <c r="I26" s="304"/>
      <c r="J26" s="305"/>
      <c r="K26" s="306"/>
      <c r="L26" s="341"/>
      <c r="M26" s="307"/>
      <c r="N26" s="308"/>
      <c r="O26" s="309"/>
      <c r="P26" s="310"/>
      <c r="Q26" s="307"/>
      <c r="R26" s="394"/>
      <c r="S26" s="310"/>
      <c r="T26" s="312"/>
      <c r="U26" s="313"/>
    </row>
    <row r="27" spans="2:21" ht="6" customHeight="1" x14ac:dyDescent="0.25">
      <c r="B27" s="433"/>
      <c r="C27" s="340"/>
      <c r="D27" s="303"/>
      <c r="E27" s="225"/>
      <c r="F27" s="225"/>
      <c r="G27" s="225"/>
      <c r="H27" s="225"/>
      <c r="I27" s="304"/>
      <c r="J27" s="305"/>
      <c r="K27" s="306"/>
      <c r="L27" s="341"/>
      <c r="M27" s="307"/>
      <c r="N27" s="308"/>
      <c r="O27" s="309"/>
      <c r="P27" s="310"/>
      <c r="Q27" s="307"/>
      <c r="R27" s="394"/>
      <c r="S27" s="310"/>
      <c r="T27" s="312"/>
      <c r="U27" s="313"/>
    </row>
    <row r="28" spans="2:21" ht="6" customHeight="1" x14ac:dyDescent="0.25">
      <c r="B28" s="433"/>
      <c r="C28" s="327"/>
      <c r="D28" s="328"/>
      <c r="E28" s="225"/>
      <c r="F28" s="225"/>
      <c r="G28" s="225"/>
      <c r="H28" s="225"/>
      <c r="I28" s="225"/>
      <c r="J28" s="329"/>
      <c r="K28" s="330"/>
      <c r="L28" s="331"/>
      <c r="M28" s="332"/>
      <c r="N28" s="333"/>
      <c r="O28" s="334"/>
      <c r="P28" s="335"/>
      <c r="Q28" s="332"/>
      <c r="R28" s="336"/>
      <c r="S28" s="335"/>
      <c r="T28" s="337"/>
      <c r="U28" s="338"/>
    </row>
    <row r="29" spans="2:21" ht="6" customHeight="1" thickBot="1" x14ac:dyDescent="0.3">
      <c r="B29" s="434"/>
      <c r="C29" s="314"/>
      <c r="D29" s="315"/>
      <c r="E29" s="316"/>
      <c r="F29" s="316"/>
      <c r="G29" s="316"/>
      <c r="H29" s="316"/>
      <c r="I29" s="316"/>
      <c r="J29" s="317"/>
      <c r="K29" s="318"/>
      <c r="L29" s="319"/>
      <c r="M29" s="320"/>
      <c r="N29" s="321"/>
      <c r="O29" s="322"/>
      <c r="P29" s="323"/>
      <c r="Q29" s="320"/>
      <c r="R29" s="324"/>
      <c r="S29" s="323"/>
      <c r="T29" s="325"/>
      <c r="U29" s="326"/>
    </row>
    <row r="30" spans="2:21" ht="40.5" customHeight="1" thickBot="1" x14ac:dyDescent="0.3">
      <c r="B30" s="432" t="s">
        <v>53</v>
      </c>
      <c r="C30" s="418">
        <v>1</v>
      </c>
      <c r="D30" s="419">
        <v>43549</v>
      </c>
      <c r="E30" s="420" t="s">
        <v>141</v>
      </c>
      <c r="F30" s="420">
        <v>213</v>
      </c>
      <c r="G30" s="420">
        <v>10</v>
      </c>
      <c r="H30" s="420">
        <v>1710</v>
      </c>
      <c r="I30" s="421">
        <f>H30*G30</f>
        <v>17100</v>
      </c>
      <c r="J30" s="422">
        <f>I30*F30</f>
        <v>3642300</v>
      </c>
      <c r="K30" s="423">
        <v>1</v>
      </c>
      <c r="L30" s="55" t="s">
        <v>31</v>
      </c>
      <c r="M30" s="410">
        <v>214.42</v>
      </c>
      <c r="N30" s="411">
        <f t="shared" ref="N30" si="8">I30*M30</f>
        <v>3666582</v>
      </c>
      <c r="O30" s="412">
        <f>N30-J30</f>
        <v>24282</v>
      </c>
      <c r="P30" s="413">
        <f>O30/J30</f>
        <v>6.6666666666666671E-3</v>
      </c>
      <c r="Q30" s="410">
        <v>0</v>
      </c>
      <c r="R30" s="414">
        <f>-Q30*I30</f>
        <v>0</v>
      </c>
      <c r="S30" s="413">
        <f t="shared" ref="S30" si="9">Q30/F30</f>
        <v>0</v>
      </c>
      <c r="T30" s="415">
        <f t="shared" ref="T30" si="10">O30+R30</f>
        <v>24282</v>
      </c>
      <c r="U30" s="416">
        <f>T30/J30</f>
        <v>6.6666666666666671E-3</v>
      </c>
    </row>
    <row r="31" spans="2:21" ht="15.75" thickBot="1" x14ac:dyDescent="0.3">
      <c r="B31" s="433"/>
      <c r="C31" s="260"/>
      <c r="D31" s="6"/>
      <c r="E31" s="91"/>
      <c r="F31" s="91"/>
      <c r="G31" s="91"/>
      <c r="H31" s="91"/>
      <c r="I31" s="7">
        <f t="shared" ref="I31:I33" si="11">H31*G31</f>
        <v>0</v>
      </c>
      <c r="J31" s="8">
        <f t="shared" ref="J31:J32" si="12">I31*F31</f>
        <v>0</v>
      </c>
      <c r="K31" s="96">
        <v>0</v>
      </c>
      <c r="L31" s="55" t="s">
        <v>31</v>
      </c>
      <c r="M31" s="54">
        <v>0</v>
      </c>
      <c r="N31" s="97">
        <f t="shared" ref="N31:N32" si="13">I31*M31</f>
        <v>0</v>
      </c>
      <c r="O31" s="98">
        <f t="shared" ref="O31:O32" si="14">N31-J31</f>
        <v>0</v>
      </c>
      <c r="P31" s="57" t="e">
        <f t="shared" ref="P31:P32" si="15">O31/J31</f>
        <v>#DIV/0!</v>
      </c>
      <c r="Q31" s="54">
        <v>0</v>
      </c>
      <c r="R31" s="104">
        <f t="shared" ref="R31:R32" si="16">Q31*I31</f>
        <v>0</v>
      </c>
      <c r="S31" s="105" t="e">
        <f t="shared" ref="S31:S32" si="17">Q31/F31</f>
        <v>#DIV/0!</v>
      </c>
      <c r="T31" s="106">
        <f t="shared" ref="T31:T32" si="18">O31+R31</f>
        <v>0</v>
      </c>
      <c r="U31" s="141" t="e">
        <f t="shared" ref="U31:U32" si="19">T31/J31</f>
        <v>#DIV/0!</v>
      </c>
    </row>
    <row r="32" spans="2:21" ht="15.75" thickBot="1" x14ac:dyDescent="0.3">
      <c r="B32" s="433"/>
      <c r="C32" s="260"/>
      <c r="D32" s="6"/>
      <c r="E32" s="91"/>
      <c r="F32" s="91"/>
      <c r="G32" s="91"/>
      <c r="H32" s="91"/>
      <c r="I32" s="7">
        <f t="shared" si="11"/>
        <v>0</v>
      </c>
      <c r="J32" s="8">
        <f t="shared" si="12"/>
        <v>0</v>
      </c>
      <c r="K32" s="96">
        <v>0</v>
      </c>
      <c r="L32" s="55" t="s">
        <v>31</v>
      </c>
      <c r="M32" s="54">
        <v>0</v>
      </c>
      <c r="N32" s="97">
        <f t="shared" si="13"/>
        <v>0</v>
      </c>
      <c r="O32" s="98">
        <f t="shared" si="14"/>
        <v>0</v>
      </c>
      <c r="P32" s="57" t="e">
        <f t="shared" si="15"/>
        <v>#DIV/0!</v>
      </c>
      <c r="Q32" s="54">
        <v>0</v>
      </c>
      <c r="R32" s="104">
        <f t="shared" si="16"/>
        <v>0</v>
      </c>
      <c r="S32" s="105" t="e">
        <f t="shared" si="17"/>
        <v>#DIV/0!</v>
      </c>
      <c r="T32" s="106">
        <f t="shared" si="18"/>
        <v>0</v>
      </c>
      <c r="U32" s="141" t="e">
        <f t="shared" si="19"/>
        <v>#DIV/0!</v>
      </c>
    </row>
    <row r="33" spans="2:21" ht="15.75" thickBot="1" x14ac:dyDescent="0.3">
      <c r="B33" s="433"/>
      <c r="C33" s="260"/>
      <c r="D33" s="6"/>
      <c r="E33" s="91"/>
      <c r="F33" s="91"/>
      <c r="G33" s="91"/>
      <c r="H33" s="91"/>
      <c r="I33" s="7">
        <f t="shared" si="11"/>
        <v>0</v>
      </c>
      <c r="J33" s="8">
        <f t="shared" ref="J33" si="20">I33*F33</f>
        <v>0</v>
      </c>
      <c r="K33" s="96">
        <v>0</v>
      </c>
      <c r="L33" s="55" t="s">
        <v>31</v>
      </c>
      <c r="M33" s="54">
        <v>0</v>
      </c>
      <c r="N33" s="97">
        <f t="shared" ref="N33" si="21">I33*M33</f>
        <v>0</v>
      </c>
      <c r="O33" s="98">
        <f t="shared" ref="O33" si="22">N33-J33</f>
        <v>0</v>
      </c>
      <c r="P33" s="57" t="e">
        <f t="shared" ref="P33" si="23">O33/J33</f>
        <v>#DIV/0!</v>
      </c>
      <c r="Q33" s="54">
        <v>0</v>
      </c>
      <c r="R33" s="104">
        <f t="shared" ref="R33" si="24">Q33*I33</f>
        <v>0</v>
      </c>
      <c r="S33" s="105" t="e">
        <f t="shared" ref="S33" si="25">Q33/F33</f>
        <v>#DIV/0!</v>
      </c>
      <c r="T33" s="106">
        <f t="shared" ref="T33" si="26">O33+R33</f>
        <v>0</v>
      </c>
      <c r="U33" s="141" t="e">
        <f t="shared" ref="U33" si="27">T33/J33</f>
        <v>#DIV/0!</v>
      </c>
    </row>
    <row r="34" spans="2:21" ht="15.75" thickBot="1" x14ac:dyDescent="0.3">
      <c r="B34" s="433"/>
      <c r="C34" s="260"/>
      <c r="D34" s="6"/>
      <c r="E34" s="91"/>
      <c r="F34" s="91"/>
      <c r="G34" s="91"/>
      <c r="H34" s="91"/>
      <c r="I34" s="7">
        <f>H34*G34</f>
        <v>0</v>
      </c>
      <c r="J34" s="8">
        <f>I34*F34</f>
        <v>0</v>
      </c>
      <c r="K34" s="96">
        <v>0</v>
      </c>
      <c r="L34" s="55" t="s">
        <v>31</v>
      </c>
      <c r="M34" s="54">
        <v>0</v>
      </c>
      <c r="N34" s="97">
        <f>I34*M34</f>
        <v>0</v>
      </c>
      <c r="O34" s="98">
        <f>N34-J34</f>
        <v>0</v>
      </c>
      <c r="P34" s="57" t="e">
        <f>O34/J34</f>
        <v>#DIV/0!</v>
      </c>
      <c r="Q34" s="54">
        <v>0</v>
      </c>
      <c r="R34" s="104">
        <f>Q34*I34</f>
        <v>0</v>
      </c>
      <c r="S34" s="105" t="e">
        <f>Q34/F34</f>
        <v>#DIV/0!</v>
      </c>
      <c r="T34" s="106">
        <f>O34+R34</f>
        <v>0</v>
      </c>
      <c r="U34" s="141" t="e">
        <f>T34/J34</f>
        <v>#DIV/0!</v>
      </c>
    </row>
    <row r="35" spans="2:21" x14ac:dyDescent="0.25">
      <c r="B35" s="433"/>
      <c r="C35" s="260"/>
      <c r="D35" s="6"/>
      <c r="E35" s="91"/>
      <c r="F35" s="91"/>
      <c r="G35" s="91"/>
      <c r="H35" s="91"/>
      <c r="I35" s="7">
        <f>H35*G35</f>
        <v>0</v>
      </c>
      <c r="J35" s="8">
        <f>I35*F35</f>
        <v>0</v>
      </c>
      <c r="K35" s="96">
        <v>0</v>
      </c>
      <c r="L35" s="55" t="s">
        <v>31</v>
      </c>
      <c r="M35" s="54">
        <v>0</v>
      </c>
      <c r="N35" s="97">
        <f>I35*M35</f>
        <v>0</v>
      </c>
      <c r="O35" s="98">
        <f>N35-J35</f>
        <v>0</v>
      </c>
      <c r="P35" s="57" t="e">
        <f>O35/J35</f>
        <v>#DIV/0!</v>
      </c>
      <c r="Q35" s="54">
        <v>0</v>
      </c>
      <c r="R35" s="104">
        <f>Q35*I35</f>
        <v>0</v>
      </c>
      <c r="S35" s="105" t="e">
        <f>Q35/F35</f>
        <v>#DIV/0!</v>
      </c>
      <c r="T35" s="106">
        <f>O35+R35</f>
        <v>0</v>
      </c>
      <c r="U35" s="141" t="e">
        <f>T35/J35</f>
        <v>#DIV/0!</v>
      </c>
    </row>
    <row r="36" spans="2:21" x14ac:dyDescent="0.25">
      <c r="B36" s="433"/>
      <c r="C36" s="342"/>
      <c r="D36" s="90"/>
      <c r="E36" s="91"/>
      <c r="F36" s="91"/>
      <c r="G36" s="91"/>
      <c r="H36" s="91"/>
      <c r="I36" s="91"/>
      <c r="J36" s="92"/>
      <c r="K36" s="250"/>
      <c r="L36" s="251"/>
      <c r="M36" s="252"/>
      <c r="N36" s="253"/>
      <c r="O36" s="254"/>
      <c r="P36" s="255"/>
      <c r="Q36" s="54"/>
      <c r="R36" s="256"/>
      <c r="S36" s="257"/>
      <c r="T36" s="258"/>
      <c r="U36" s="259"/>
    </row>
    <row r="37" spans="2:21" x14ac:dyDescent="0.25">
      <c r="B37" s="433"/>
      <c r="C37" s="89"/>
      <c r="D37" s="90"/>
      <c r="E37" s="91"/>
      <c r="F37" s="91"/>
      <c r="G37" s="91"/>
      <c r="H37" s="91"/>
      <c r="I37" s="91"/>
      <c r="J37" s="92"/>
      <c r="K37" s="250"/>
      <c r="L37" s="251"/>
      <c r="M37" s="252"/>
      <c r="N37" s="253"/>
      <c r="O37" s="254"/>
      <c r="P37" s="255"/>
      <c r="Q37" s="54"/>
      <c r="R37" s="256"/>
      <c r="S37" s="257"/>
      <c r="T37" s="258"/>
      <c r="U37" s="259"/>
    </row>
    <row r="38" spans="2:21" ht="15.75" thickBot="1" x14ac:dyDescent="0.3">
      <c r="B38" s="434"/>
      <c r="C38" s="261"/>
      <c r="D38" s="262"/>
      <c r="E38" s="263"/>
      <c r="F38" s="263"/>
      <c r="G38" s="263"/>
      <c r="H38" s="263"/>
      <c r="I38" s="263">
        <f t="shared" ref="I38" si="28">H38*G38</f>
        <v>0</v>
      </c>
      <c r="J38" s="264">
        <f t="shared" ref="J38" si="29">I38*F38</f>
        <v>0</v>
      </c>
      <c r="K38" s="265"/>
      <c r="L38" s="68" t="s">
        <v>31</v>
      </c>
      <c r="M38" s="67"/>
      <c r="N38" s="266">
        <f t="shared" ref="N38" si="30">I38*M38</f>
        <v>0</v>
      </c>
      <c r="O38" s="267">
        <f t="shared" ref="O38" si="31">N38-J38</f>
        <v>0</v>
      </c>
      <c r="P38" s="69" t="e">
        <f t="shared" ref="P38" si="32">O38/J38</f>
        <v>#DIV/0!</v>
      </c>
      <c r="Q38" s="54">
        <v>0</v>
      </c>
      <c r="R38" s="268">
        <f t="shared" ref="R38" si="33">Q38*I38</f>
        <v>0</v>
      </c>
      <c r="S38" s="269" t="e">
        <f t="shared" ref="S38" si="34">Q38/F38</f>
        <v>#DIV/0!</v>
      </c>
      <c r="T38" s="270">
        <f t="shared" ref="T38" si="35">O38+R38</f>
        <v>0</v>
      </c>
      <c r="U38" s="271" t="e">
        <f t="shared" ref="U38" si="36">T38/J38</f>
        <v>#DIV/0!</v>
      </c>
    </row>
    <row r="39" spans="2:21" x14ac:dyDescent="0.25">
      <c r="I39" s="15"/>
      <c r="J39" s="16"/>
      <c r="K39" s="41"/>
      <c r="O39" s="110"/>
      <c r="P39" s="111"/>
    </row>
    <row r="40" spans="2:21" s="17" customFormat="1" ht="15.75" x14ac:dyDescent="0.25">
      <c r="D40" s="18"/>
      <c r="I40" s="37"/>
      <c r="J40" s="38">
        <f>SUM(J8:J38)</f>
        <v>-458049.5</v>
      </c>
      <c r="K40" s="42"/>
      <c r="L40" s="38"/>
      <c r="M40" s="38"/>
      <c r="N40" s="38">
        <f>SUM(N8:N38)</f>
        <v>-149269.5</v>
      </c>
      <c r="O40" s="142">
        <f>SUM(O8:O38)</f>
        <v>285098</v>
      </c>
      <c r="P40" s="143">
        <f>O40/3381979.54</f>
        <v>8.4299149840510276E-2</v>
      </c>
      <c r="Q40" s="38"/>
      <c r="R40" s="144">
        <f>SUM(R8:R38)</f>
        <v>0</v>
      </c>
      <c r="S40" s="145">
        <f>R40/3251220.5</f>
        <v>0</v>
      </c>
      <c r="T40" s="146">
        <f>SUM(T8:T38)</f>
        <v>285098</v>
      </c>
      <c r="U40" s="147">
        <f>T40/3381979.54</f>
        <v>8.4299149840510276E-2</v>
      </c>
    </row>
    <row r="41" spans="2:21" ht="15.75" x14ac:dyDescent="0.25">
      <c r="I41" s="19"/>
      <c r="J41" s="20"/>
      <c r="K41" s="43"/>
      <c r="T41" s="51"/>
    </row>
  </sheetData>
  <mergeCells count="7">
    <mergeCell ref="B8:B29"/>
    <mergeCell ref="B30:B38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opLeftCell="D4" zoomScale="110" zoomScaleNormal="110" workbookViewId="0">
      <selection activeCell="L12" sqref="L12"/>
    </sheetView>
  </sheetViews>
  <sheetFormatPr defaultRowHeight="15" x14ac:dyDescent="0.25"/>
  <cols>
    <col min="1" max="1" width="9.140625" style="228"/>
    <col min="2" max="2" width="34.28515625" style="228" customWidth="1"/>
    <col min="3" max="3" width="15.28515625" style="228" customWidth="1"/>
    <col min="4" max="5" width="14.28515625" style="228" bestFit="1" customWidth="1"/>
    <col min="6" max="9" width="14.28515625" style="228" customWidth="1"/>
    <col min="10" max="10" width="12.42578125" style="228" bestFit="1" customWidth="1"/>
    <col min="11" max="11" width="12.7109375" style="228" customWidth="1"/>
    <col min="12" max="12" width="12.28515625" style="228" bestFit="1" customWidth="1"/>
    <col min="13" max="26" width="11.5703125" style="228" customWidth="1"/>
    <col min="27" max="31" width="11.42578125" style="228" customWidth="1"/>
    <col min="32" max="34" width="11.42578125" style="228" bestFit="1" customWidth="1"/>
    <col min="35" max="35" width="12" style="228" customWidth="1"/>
    <col min="36" max="45" width="11.42578125" style="228" customWidth="1"/>
    <col min="46" max="47" width="11.28515625" style="228" bestFit="1" customWidth="1"/>
    <col min="48" max="48" width="10.28515625" style="228" bestFit="1" customWidth="1"/>
    <col min="49" max="16384" width="9.140625" style="228"/>
  </cols>
  <sheetData>
    <row r="1" spans="1:48" ht="26.25" x14ac:dyDescent="0.4">
      <c r="B1" s="227" t="s">
        <v>76</v>
      </c>
      <c r="C1" s="227"/>
    </row>
    <row r="2" spans="1:48" ht="26.25" x14ac:dyDescent="0.4">
      <c r="B2" s="227"/>
      <c r="C2" s="227"/>
    </row>
    <row r="3" spans="1:48" s="297" customFormat="1" ht="22.5" customHeight="1" x14ac:dyDescent="0.4">
      <c r="A3" s="297" t="s">
        <v>154</v>
      </c>
    </row>
    <row r="4" spans="1:48" ht="20.25" customHeight="1" thickBot="1" x14ac:dyDescent="0.45">
      <c r="B4" s="227"/>
      <c r="C4" s="227"/>
      <c r="AV4" s="403">
        <v>43830</v>
      </c>
    </row>
    <row r="5" spans="1:48" s="232" customFormat="1" x14ac:dyDescent="0.25">
      <c r="B5" s="229"/>
      <c r="C5" s="230"/>
      <c r="D5" s="231">
        <v>43465</v>
      </c>
      <c r="E5" s="231">
        <v>43476</v>
      </c>
      <c r="F5" s="231">
        <v>43483</v>
      </c>
      <c r="G5" s="231">
        <v>43504</v>
      </c>
      <c r="H5" s="231">
        <v>43511</v>
      </c>
      <c r="I5" s="417">
        <v>43531</v>
      </c>
      <c r="J5" s="417">
        <v>43539</v>
      </c>
      <c r="K5" s="417">
        <v>43553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404"/>
    </row>
    <row r="6" spans="1:48" s="375" customFormat="1" ht="12.75" x14ac:dyDescent="0.2">
      <c r="B6" s="376" t="s">
        <v>70</v>
      </c>
      <c r="C6" s="377"/>
      <c r="D6" s="378">
        <v>3381979.54</v>
      </c>
      <c r="E6" s="378">
        <v>3572554.54</v>
      </c>
      <c r="F6" s="378">
        <v>3783820.54</v>
      </c>
      <c r="G6" s="378">
        <v>3819939.04</v>
      </c>
      <c r="H6" s="378">
        <v>3775834.54</v>
      </c>
      <c r="I6" s="378">
        <v>3764763.0399999996</v>
      </c>
      <c r="J6" s="378">
        <v>3675720.5399999996</v>
      </c>
      <c r="K6" s="378">
        <v>3667077.5399999996</v>
      </c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8"/>
      <c r="AV6" s="405"/>
    </row>
    <row r="7" spans="1:48" s="375" customFormat="1" ht="12.75" x14ac:dyDescent="0.2">
      <c r="B7" s="376" t="s">
        <v>145</v>
      </c>
      <c r="C7" s="377"/>
      <c r="D7" s="378">
        <v>2369.33</v>
      </c>
      <c r="E7" s="378">
        <v>2444.4499999999998</v>
      </c>
      <c r="F7" s="378">
        <v>2473.61</v>
      </c>
      <c r="G7" s="378">
        <v>2502.8200000000002</v>
      </c>
      <c r="H7" s="378">
        <v>2490.16</v>
      </c>
      <c r="I7" s="378">
        <v>2476.64</v>
      </c>
      <c r="J7" s="378">
        <v>2476.73</v>
      </c>
      <c r="K7" s="378">
        <v>2497.1</v>
      </c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8"/>
      <c r="AV7" s="405"/>
    </row>
    <row r="8" spans="1:48" s="237" customFormat="1" ht="15.75" x14ac:dyDescent="0.25">
      <c r="B8" s="233"/>
      <c r="C8" s="234"/>
      <c r="D8" s="235"/>
      <c r="E8" s="235"/>
      <c r="F8" s="235"/>
      <c r="G8" s="235"/>
      <c r="H8" s="235"/>
      <c r="I8" s="235"/>
      <c r="J8" s="235"/>
      <c r="K8" s="23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35"/>
      <c r="AV8" s="406"/>
    </row>
    <row r="9" spans="1:48" s="241" customFormat="1" ht="15.75" x14ac:dyDescent="0.25">
      <c r="B9" s="238"/>
      <c r="C9" s="239"/>
      <c r="D9" s="240">
        <f t="shared" ref="D9:E9" si="0">D5</f>
        <v>43465</v>
      </c>
      <c r="E9" s="240">
        <f t="shared" si="0"/>
        <v>43476</v>
      </c>
      <c r="F9" s="240">
        <f t="shared" ref="F9:G9" si="1">F5</f>
        <v>43483</v>
      </c>
      <c r="G9" s="240">
        <f t="shared" si="1"/>
        <v>43504</v>
      </c>
      <c r="H9" s="240">
        <f t="shared" ref="H9:I9" si="2">H5</f>
        <v>43511</v>
      </c>
      <c r="I9" s="240">
        <f t="shared" si="2"/>
        <v>43531</v>
      </c>
      <c r="J9" s="240">
        <f t="shared" ref="J9:K9" si="3">J5</f>
        <v>43539</v>
      </c>
      <c r="K9" s="240">
        <f t="shared" si="3"/>
        <v>43553</v>
      </c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407"/>
    </row>
    <row r="10" spans="1:48" s="245" customFormat="1" ht="31.5" x14ac:dyDescent="0.25">
      <c r="B10" s="300" t="s">
        <v>155</v>
      </c>
      <c r="C10" s="368" t="s">
        <v>147</v>
      </c>
      <c r="D10" s="244">
        <f t="shared" ref="D10:I10" si="4">D6/3381979.54-1</f>
        <v>0</v>
      </c>
      <c r="E10" s="244">
        <f t="shared" si="4"/>
        <v>5.6350133921862833E-2</v>
      </c>
      <c r="F10" s="244">
        <f t="shared" si="4"/>
        <v>0.11881828238381353</v>
      </c>
      <c r="G10" s="244">
        <f t="shared" si="4"/>
        <v>0.12949797443186184</v>
      </c>
      <c r="H10" s="244">
        <f t="shared" si="4"/>
        <v>0.11645694343851654</v>
      </c>
      <c r="I10" s="244">
        <f t="shared" si="4"/>
        <v>0.11318326899162723</v>
      </c>
      <c r="J10" s="244">
        <f t="shared" ref="J10:K10" si="5">J6/3381979.54-1</f>
        <v>8.6854753710307708E-2</v>
      </c>
      <c r="K10" s="244">
        <f t="shared" si="5"/>
        <v>8.4299149840510124E-2</v>
      </c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408"/>
    </row>
    <row r="11" spans="1:48" s="245" customFormat="1" ht="32.25" thickBot="1" x14ac:dyDescent="0.3">
      <c r="B11" s="301" t="s">
        <v>156</v>
      </c>
      <c r="C11" s="367" t="s">
        <v>146</v>
      </c>
      <c r="D11" s="248">
        <f t="shared" ref="D11:I11" si="6">D7/2369.33-1</f>
        <v>0</v>
      </c>
      <c r="E11" s="248">
        <f t="shared" si="6"/>
        <v>3.1705165595337093E-2</v>
      </c>
      <c r="F11" s="248">
        <f t="shared" si="6"/>
        <v>4.4012442336019086E-2</v>
      </c>
      <c r="G11" s="248">
        <f t="shared" si="6"/>
        <v>5.6340822088944975E-2</v>
      </c>
      <c r="H11" s="248">
        <f t="shared" si="6"/>
        <v>5.0997539388772273E-2</v>
      </c>
      <c r="I11" s="248">
        <f t="shared" si="6"/>
        <v>4.5291284878003379E-2</v>
      </c>
      <c r="J11" s="248">
        <f t="shared" ref="J11:K11" si="7">J7/2369.33-1</f>
        <v>4.5329270300042745E-2</v>
      </c>
      <c r="K11" s="248">
        <f t="shared" si="7"/>
        <v>5.3926637488235007E-2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409"/>
    </row>
    <row r="12" spans="1:48" s="380" customFormat="1" ht="15.75" customHeight="1" x14ac:dyDescent="0.2">
      <c r="B12" s="380" t="s">
        <v>139</v>
      </c>
      <c r="E12" s="381">
        <f t="shared" ref="E12:K13" si="8">(1+E10)/(1+D10)-1</f>
        <v>5.6350133921862833E-2</v>
      </c>
      <c r="F12" s="381">
        <f t="shared" si="8"/>
        <v>5.913583617396645E-2</v>
      </c>
      <c r="G12" s="381">
        <f t="shared" si="8"/>
        <v>9.5455108449726822E-3</v>
      </c>
      <c r="H12" s="381">
        <f t="shared" si="8"/>
        <v>-1.1545864878513834E-2</v>
      </c>
      <c r="I12" s="381">
        <f t="shared" si="8"/>
        <v>-2.9321994602020673E-3</v>
      </c>
      <c r="J12" s="381">
        <f t="shared" si="8"/>
        <v>-2.3651554972766609E-2</v>
      </c>
      <c r="K12" s="381">
        <f t="shared" si="8"/>
        <v>-2.3513757114952405E-3</v>
      </c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</row>
    <row r="13" spans="1:48" s="380" customFormat="1" ht="15.75" customHeight="1" x14ac:dyDescent="0.2">
      <c r="B13" s="380" t="s">
        <v>144</v>
      </c>
      <c r="E13" s="381">
        <f t="shared" si="8"/>
        <v>3.1705165595337093E-2</v>
      </c>
      <c r="F13" s="381">
        <f t="shared" si="8"/>
        <v>1.1929063797582407E-2</v>
      </c>
      <c r="G13" s="381">
        <f t="shared" si="8"/>
        <v>1.1808652131904296E-2</v>
      </c>
      <c r="H13" s="381">
        <f t="shared" si="8"/>
        <v>-5.0582942440927647E-3</v>
      </c>
      <c r="I13" s="381">
        <f t="shared" si="8"/>
        <v>-5.4293700003212875E-3</v>
      </c>
      <c r="J13" s="381">
        <f t="shared" si="8"/>
        <v>3.6339556819031671E-5</v>
      </c>
      <c r="K13" s="381">
        <f t="shared" si="8"/>
        <v>8.2245541500283181E-3</v>
      </c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</row>
    <row r="14" spans="1:48" ht="15.75" customHeight="1" x14ac:dyDescent="0.4">
      <c r="B14" s="227"/>
      <c r="C14" s="227"/>
    </row>
    <row r="15" spans="1:48" ht="15.75" customHeight="1" x14ac:dyDescent="0.4">
      <c r="B15" s="227"/>
      <c r="C15" s="227"/>
    </row>
    <row r="16" spans="1:48" ht="15.75" customHeight="1" x14ac:dyDescent="0.4">
      <c r="B16" s="227"/>
      <c r="C16" s="227"/>
    </row>
    <row r="17" spans="2:3" ht="15.75" customHeight="1" x14ac:dyDescent="0.4">
      <c r="B17" s="227"/>
      <c r="C17" s="227"/>
    </row>
    <row r="18" spans="2:3" ht="15.75" customHeight="1" x14ac:dyDescent="0.4">
      <c r="B18" s="227"/>
      <c r="C18" s="227"/>
    </row>
    <row r="19" spans="2:3" ht="15.75" customHeight="1" x14ac:dyDescent="0.4">
      <c r="B19" s="227"/>
      <c r="C19" s="227"/>
    </row>
    <row r="20" spans="2:3" ht="15.75" customHeight="1" x14ac:dyDescent="0.4">
      <c r="B20" s="227"/>
      <c r="C20" s="227"/>
    </row>
    <row r="21" spans="2:3" ht="15.75" customHeight="1" x14ac:dyDescent="0.4">
      <c r="B21" s="227"/>
      <c r="C21" s="227"/>
    </row>
    <row r="22" spans="2:3" ht="15.75" customHeight="1" x14ac:dyDescent="0.4">
      <c r="B22" s="227"/>
      <c r="C22" s="227"/>
    </row>
    <row r="23" spans="2:3" ht="15.75" customHeight="1" x14ac:dyDescent="0.4">
      <c r="B23" s="227"/>
      <c r="C23" s="227"/>
    </row>
    <row r="24" spans="2:3" ht="15.75" customHeight="1" x14ac:dyDescent="0.4">
      <c r="B24" s="227"/>
      <c r="C24" s="227"/>
    </row>
    <row r="25" spans="2:3" ht="15.75" customHeight="1" x14ac:dyDescent="0.4">
      <c r="B25" s="227"/>
      <c r="C25" s="227"/>
    </row>
    <row r="26" spans="2:3" ht="15.75" customHeight="1" x14ac:dyDescent="0.4">
      <c r="B26" s="227"/>
      <c r="C26" s="227"/>
    </row>
    <row r="27" spans="2:3" ht="15.75" customHeight="1" x14ac:dyDescent="0.4">
      <c r="B27" s="227"/>
      <c r="C27" s="227"/>
    </row>
    <row r="28" spans="2:3" ht="15.75" customHeight="1" x14ac:dyDescent="0.4">
      <c r="B28" s="227"/>
      <c r="C28" s="227"/>
    </row>
    <row r="29" spans="2:3" ht="15.75" customHeight="1" x14ac:dyDescent="0.4">
      <c r="B29" s="227"/>
      <c r="C29" s="227"/>
    </row>
    <row r="30" spans="2:3" ht="15.75" customHeight="1" x14ac:dyDescent="0.4">
      <c r="B30" s="227"/>
      <c r="C30" s="227"/>
    </row>
    <row r="31" spans="2:3" ht="15.75" customHeight="1" x14ac:dyDescent="0.4">
      <c r="B31" s="227"/>
      <c r="C31" s="227"/>
    </row>
    <row r="32" spans="2:3" ht="15.75" customHeight="1" x14ac:dyDescent="0.4">
      <c r="B32" s="227"/>
      <c r="C32" s="227"/>
    </row>
    <row r="33" spans="1:48" ht="15.75" customHeight="1" x14ac:dyDescent="0.4">
      <c r="B33" s="227"/>
      <c r="C33" s="227"/>
    </row>
    <row r="34" spans="1:48" ht="15.75" customHeight="1" x14ac:dyDescent="0.4">
      <c r="B34" s="227"/>
      <c r="C34" s="227"/>
    </row>
    <row r="35" spans="1:48" ht="15.75" customHeight="1" x14ac:dyDescent="0.4">
      <c r="B35" s="227"/>
      <c r="C35" s="227"/>
    </row>
    <row r="36" spans="1:48" s="249" customFormat="1" x14ac:dyDescent="0.25">
      <c r="B36" s="249" t="s">
        <v>77</v>
      </c>
    </row>
    <row r="37" spans="1:48" s="249" customFormat="1" x14ac:dyDescent="0.25"/>
    <row r="38" spans="1:48" s="249" customFormat="1" x14ac:dyDescent="0.25"/>
    <row r="39" spans="1:48" s="249" customFormat="1" x14ac:dyDescent="0.25"/>
    <row r="40" spans="1:48" s="297" customFormat="1" ht="90" customHeight="1" x14ac:dyDescent="0.4"/>
    <row r="41" spans="1:48" s="297" customFormat="1" ht="22.5" customHeight="1" x14ac:dyDescent="0.4">
      <c r="A41" s="297" t="s">
        <v>153</v>
      </c>
    </row>
    <row r="42" spans="1:48" ht="9.75" customHeight="1" thickBot="1" x14ac:dyDescent="0.45">
      <c r="B42" s="227"/>
      <c r="C42" s="227"/>
      <c r="AV42" s="403">
        <v>43463</v>
      </c>
    </row>
    <row r="43" spans="1:48" s="232" customFormat="1" x14ac:dyDescent="0.25">
      <c r="B43" s="229"/>
      <c r="C43" s="230"/>
      <c r="D43" s="231">
        <v>43100</v>
      </c>
      <c r="E43" s="231">
        <v>43112</v>
      </c>
      <c r="F43" s="231">
        <v>43119</v>
      </c>
      <c r="G43" s="231">
        <v>43126</v>
      </c>
      <c r="H43" s="231">
        <v>43133</v>
      </c>
      <c r="I43" s="231">
        <v>43140</v>
      </c>
      <c r="J43" s="231">
        <v>43147</v>
      </c>
      <c r="K43" s="231">
        <v>43148</v>
      </c>
      <c r="L43" s="231">
        <v>43161</v>
      </c>
      <c r="M43" s="231">
        <v>43175</v>
      </c>
      <c r="N43" s="231">
        <v>43182</v>
      </c>
      <c r="O43" s="231">
        <v>43189</v>
      </c>
      <c r="P43" s="231">
        <v>43196</v>
      </c>
      <c r="Q43" s="231">
        <v>43210</v>
      </c>
      <c r="R43" s="231">
        <v>43218</v>
      </c>
      <c r="S43" s="231">
        <v>43224</v>
      </c>
      <c r="T43" s="231">
        <v>43231</v>
      </c>
      <c r="U43" s="231">
        <v>43238</v>
      </c>
      <c r="V43" s="231">
        <v>43245</v>
      </c>
      <c r="W43" s="231">
        <v>43251</v>
      </c>
      <c r="X43" s="231">
        <v>43260</v>
      </c>
      <c r="Y43" s="231">
        <v>43266</v>
      </c>
      <c r="Z43" s="231">
        <v>43273</v>
      </c>
      <c r="AA43" s="231">
        <v>43280</v>
      </c>
      <c r="AB43" s="231">
        <v>43287</v>
      </c>
      <c r="AC43" s="231">
        <v>43294</v>
      </c>
      <c r="AD43" s="231">
        <v>43301</v>
      </c>
      <c r="AE43" s="231">
        <v>43308</v>
      </c>
      <c r="AF43" s="231">
        <v>43315</v>
      </c>
      <c r="AG43" s="231">
        <v>43322</v>
      </c>
      <c r="AH43" s="231">
        <v>43336</v>
      </c>
      <c r="AI43" s="231">
        <v>43343</v>
      </c>
      <c r="AJ43" s="231">
        <v>43350</v>
      </c>
      <c r="AK43" s="231">
        <v>43357</v>
      </c>
      <c r="AL43" s="231">
        <v>43371</v>
      </c>
      <c r="AM43" s="231">
        <v>43378</v>
      </c>
      <c r="AN43" s="231">
        <v>43385</v>
      </c>
      <c r="AO43" s="231">
        <v>43392</v>
      </c>
      <c r="AP43" s="231">
        <v>43399</v>
      </c>
      <c r="AQ43" s="231">
        <v>43406</v>
      </c>
      <c r="AR43" s="231">
        <v>43413</v>
      </c>
      <c r="AS43" s="231">
        <v>43420</v>
      </c>
      <c r="AT43" s="231">
        <v>43434</v>
      </c>
      <c r="AU43" s="231">
        <v>43448</v>
      </c>
      <c r="AV43" s="404">
        <v>43465</v>
      </c>
    </row>
    <row r="44" spans="1:48" s="375" customFormat="1" ht="12.75" x14ac:dyDescent="0.2">
      <c r="B44" s="376" t="s">
        <v>70</v>
      </c>
      <c r="C44" s="377"/>
      <c r="D44" s="378">
        <v>3251220.5</v>
      </c>
      <c r="E44" s="378">
        <v>3398997.2</v>
      </c>
      <c r="F44" s="378">
        <v>3325066</v>
      </c>
      <c r="G44" s="379">
        <v>3319624.3</v>
      </c>
      <c r="H44" s="379">
        <v>3319981.1</v>
      </c>
      <c r="I44" s="379">
        <v>3242184.7</v>
      </c>
      <c r="J44" s="379">
        <v>3326363.7</v>
      </c>
      <c r="K44" s="379">
        <v>3481481.5</v>
      </c>
      <c r="L44" s="379">
        <v>3499200.5</v>
      </c>
      <c r="M44" s="379">
        <v>3536928</v>
      </c>
      <c r="N44" s="379">
        <v>3546303.5</v>
      </c>
      <c r="O44" s="379">
        <v>3472609.5</v>
      </c>
      <c r="P44" s="379">
        <v>3472355.9000000004</v>
      </c>
      <c r="Q44" s="379">
        <v>3363302.7</v>
      </c>
      <c r="R44" s="379">
        <v>3367015.9000000004</v>
      </c>
      <c r="S44" s="379">
        <v>3344350.5400000005</v>
      </c>
      <c r="T44" s="379">
        <v>3238234.5400000005</v>
      </c>
      <c r="U44" s="379">
        <v>3438330.5400000005</v>
      </c>
      <c r="V44" s="379">
        <v>3470890.5400000005</v>
      </c>
      <c r="W44" s="379">
        <v>3435962.54</v>
      </c>
      <c r="X44" s="379">
        <v>3580410.5400000005</v>
      </c>
      <c r="Y44" s="379">
        <v>3628362.54</v>
      </c>
      <c r="Z44" s="379">
        <v>3553326.5400000005</v>
      </c>
      <c r="AA44" s="379">
        <v>3500490.5400000005</v>
      </c>
      <c r="AB44" s="379">
        <v>3371582.5400000005</v>
      </c>
      <c r="AC44" s="379">
        <v>3147510.5400000005</v>
      </c>
      <c r="AD44" s="379">
        <v>3525058.5400000005</v>
      </c>
      <c r="AE44" s="379">
        <v>3457570.5400000005</v>
      </c>
      <c r="AF44" s="379">
        <v>3556582.5400000005</v>
      </c>
      <c r="AG44" s="379">
        <v>3794270.54</v>
      </c>
      <c r="AH44" s="379">
        <v>3879518.5400000005</v>
      </c>
      <c r="AI44" s="379">
        <v>3855690.5400000005</v>
      </c>
      <c r="AJ44" s="379">
        <v>3960770.54</v>
      </c>
      <c r="AK44" s="379">
        <v>3756382.540000001</v>
      </c>
      <c r="AL44" s="379">
        <v>3540154.5400000005</v>
      </c>
      <c r="AM44" s="379">
        <v>3778730.5400000005</v>
      </c>
      <c r="AN44" s="379">
        <v>3709910.540000001</v>
      </c>
      <c r="AO44" s="379">
        <v>3829050.5400000005</v>
      </c>
      <c r="AP44" s="379">
        <v>3870490.5400000005</v>
      </c>
      <c r="AQ44" s="379">
        <v>3698810.540000001</v>
      </c>
      <c r="AR44" s="379">
        <v>3652190.5400000005</v>
      </c>
      <c r="AS44" s="379">
        <v>3600242.5400000005</v>
      </c>
      <c r="AT44" s="379">
        <v>3678090.5400000005</v>
      </c>
      <c r="AU44" s="378">
        <v>3357114.040000001</v>
      </c>
      <c r="AV44" s="405">
        <v>3381979.540000001</v>
      </c>
    </row>
    <row r="45" spans="1:48" s="375" customFormat="1" ht="12.75" x14ac:dyDescent="0.2">
      <c r="B45" s="376" t="s">
        <v>145</v>
      </c>
      <c r="C45" s="377"/>
      <c r="D45" s="378">
        <v>2109.7399999999998</v>
      </c>
      <c r="E45" s="378">
        <v>2262.38</v>
      </c>
      <c r="F45" s="378">
        <v>2286.33</v>
      </c>
      <c r="G45" s="379">
        <v>2295.2600000000002</v>
      </c>
      <c r="H45" s="379">
        <v>2281.84</v>
      </c>
      <c r="I45" s="379">
        <v>2197.12</v>
      </c>
      <c r="J45" s="379">
        <v>2255.27</v>
      </c>
      <c r="K45" s="379">
        <v>2336.8200000000002</v>
      </c>
      <c r="L45" s="379">
        <v>2288.84</v>
      </c>
      <c r="M45" s="379">
        <v>2294.6</v>
      </c>
      <c r="N45" s="379">
        <v>2285.5300000000002</v>
      </c>
      <c r="O45" s="379">
        <v>2270.98</v>
      </c>
      <c r="P45" s="379">
        <v>2281.23</v>
      </c>
      <c r="Q45" s="379">
        <v>2232.66</v>
      </c>
      <c r="R45" s="379">
        <v>2297.3000000000002</v>
      </c>
      <c r="S45" s="379">
        <v>2289.4699999999998</v>
      </c>
      <c r="T45" s="379">
        <v>2345.2600000000002</v>
      </c>
      <c r="U45" s="379">
        <v>2326.94</v>
      </c>
      <c r="V45" s="379">
        <v>2306.5700000000002</v>
      </c>
      <c r="W45" s="379">
        <v>2302.88</v>
      </c>
      <c r="X45" s="379">
        <v>2281.5100000000002</v>
      </c>
      <c r="Y45" s="379">
        <v>2237.5300000000002</v>
      </c>
      <c r="Z45" s="379">
        <v>2249.6799999999998</v>
      </c>
      <c r="AA45" s="379">
        <v>2295.9499999999998</v>
      </c>
      <c r="AB45" s="379">
        <v>2345.38</v>
      </c>
      <c r="AC45" s="379">
        <v>2346.4299999999998</v>
      </c>
      <c r="AD45" s="379">
        <v>2247.8200000000002</v>
      </c>
      <c r="AE45" s="379">
        <v>2292.7199999999998</v>
      </c>
      <c r="AF45" s="379">
        <v>2297.9899999999998</v>
      </c>
      <c r="AG45" s="379">
        <v>2275.0500000000002</v>
      </c>
      <c r="AH45" s="379">
        <v>2279.7600000000002</v>
      </c>
      <c r="AI45" s="379">
        <v>2345.85</v>
      </c>
      <c r="AJ45" s="379">
        <v>2321.8200000000002</v>
      </c>
      <c r="AK45" s="379">
        <v>2360.2600000000002</v>
      </c>
      <c r="AL45" s="379">
        <v>2475.36</v>
      </c>
      <c r="AM45" s="379">
        <v>2450.9</v>
      </c>
      <c r="AN45" s="379">
        <v>2403.02</v>
      </c>
      <c r="AO45" s="379">
        <v>2344.79</v>
      </c>
      <c r="AP45" s="379">
        <v>2293.2199999999998</v>
      </c>
      <c r="AQ45" s="379">
        <v>2377.9499999999998</v>
      </c>
      <c r="AR45" s="379">
        <v>2403.4699999999998</v>
      </c>
      <c r="AS45" s="379">
        <v>2372.67</v>
      </c>
      <c r="AT45" s="379">
        <v>2392.5</v>
      </c>
      <c r="AU45" s="378">
        <v>2365.69</v>
      </c>
      <c r="AV45" s="405">
        <v>2369.33</v>
      </c>
    </row>
    <row r="46" spans="1:48" s="237" customFormat="1" ht="15.75" x14ac:dyDescent="0.25">
      <c r="B46" s="233"/>
      <c r="C46" s="234"/>
      <c r="D46" s="235"/>
      <c r="E46" s="235"/>
      <c r="F46" s="23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35"/>
      <c r="AV46" s="406"/>
    </row>
    <row r="47" spans="1:48" s="241" customFormat="1" ht="15.75" x14ac:dyDescent="0.25">
      <c r="B47" s="238"/>
      <c r="C47" s="239"/>
      <c r="D47" s="240">
        <f t="shared" ref="D47:E47" si="9">D43</f>
        <v>43100</v>
      </c>
      <c r="E47" s="240">
        <f t="shared" si="9"/>
        <v>43112</v>
      </c>
      <c r="F47" s="240">
        <f t="shared" ref="F47:H47" si="10">F43</f>
        <v>43119</v>
      </c>
      <c r="G47" s="240">
        <f t="shared" si="10"/>
        <v>43126</v>
      </c>
      <c r="H47" s="240">
        <f t="shared" si="10"/>
        <v>43133</v>
      </c>
      <c r="I47" s="240">
        <f t="shared" ref="I47:J47" si="11">I43</f>
        <v>43140</v>
      </c>
      <c r="J47" s="240">
        <f t="shared" si="11"/>
        <v>43147</v>
      </c>
      <c r="K47" s="240">
        <f t="shared" ref="K47:L47" si="12">K43</f>
        <v>43148</v>
      </c>
      <c r="L47" s="240">
        <f t="shared" si="12"/>
        <v>43161</v>
      </c>
      <c r="M47" s="240">
        <f t="shared" ref="M47:N47" si="13">M43</f>
        <v>43175</v>
      </c>
      <c r="N47" s="240">
        <f t="shared" si="13"/>
        <v>43182</v>
      </c>
      <c r="O47" s="240">
        <f t="shared" ref="O47" si="14">O43</f>
        <v>43189</v>
      </c>
      <c r="P47" s="240">
        <f t="shared" ref="P47:U47" si="15">P43</f>
        <v>43196</v>
      </c>
      <c r="Q47" s="240">
        <f t="shared" si="15"/>
        <v>43210</v>
      </c>
      <c r="R47" s="240">
        <f t="shared" si="15"/>
        <v>43218</v>
      </c>
      <c r="S47" s="240">
        <f t="shared" si="15"/>
        <v>43224</v>
      </c>
      <c r="T47" s="240">
        <f t="shared" si="15"/>
        <v>43231</v>
      </c>
      <c r="U47" s="240">
        <f t="shared" si="15"/>
        <v>43238</v>
      </c>
      <c r="V47" s="240">
        <f t="shared" ref="V47:W47" si="16">V43</f>
        <v>43245</v>
      </c>
      <c r="W47" s="240">
        <f t="shared" si="16"/>
        <v>43251</v>
      </c>
      <c r="X47" s="240">
        <f t="shared" ref="X47:Y47" si="17">X43</f>
        <v>43260</v>
      </c>
      <c r="Y47" s="240">
        <f t="shared" si="17"/>
        <v>43266</v>
      </c>
      <c r="Z47" s="240">
        <f t="shared" ref="Z47:AA47" si="18">Z43</f>
        <v>43273</v>
      </c>
      <c r="AA47" s="240">
        <f t="shared" si="18"/>
        <v>43280</v>
      </c>
      <c r="AB47" s="240">
        <f t="shared" ref="AB47:AC47" si="19">AB43</f>
        <v>43287</v>
      </c>
      <c r="AC47" s="240">
        <f t="shared" si="19"/>
        <v>43294</v>
      </c>
      <c r="AD47" s="240">
        <f t="shared" ref="AD47:AE47" si="20">AD43</f>
        <v>43301</v>
      </c>
      <c r="AE47" s="240">
        <f t="shared" si="20"/>
        <v>43308</v>
      </c>
      <c r="AF47" s="240">
        <f t="shared" ref="AF47:AG47" si="21">AF43</f>
        <v>43315</v>
      </c>
      <c r="AG47" s="240">
        <f t="shared" si="21"/>
        <v>43322</v>
      </c>
      <c r="AH47" s="240">
        <f t="shared" ref="AH47:AI47" si="22">AH43</f>
        <v>43336</v>
      </c>
      <c r="AI47" s="240">
        <f t="shared" si="22"/>
        <v>43343</v>
      </c>
      <c r="AJ47" s="240">
        <f t="shared" ref="AJ47:AK47" si="23">AJ43</f>
        <v>43350</v>
      </c>
      <c r="AK47" s="240">
        <f t="shared" si="23"/>
        <v>43357</v>
      </c>
      <c r="AL47" s="240">
        <f t="shared" ref="AL47:AM47" si="24">AL43</f>
        <v>43371</v>
      </c>
      <c r="AM47" s="240">
        <f t="shared" si="24"/>
        <v>43378</v>
      </c>
      <c r="AN47" s="240">
        <f t="shared" ref="AN47:AO47" si="25">AN43</f>
        <v>43385</v>
      </c>
      <c r="AO47" s="240">
        <f t="shared" si="25"/>
        <v>43392</v>
      </c>
      <c r="AP47" s="240">
        <f t="shared" ref="AP47:AQ47" si="26">AP43</f>
        <v>43399</v>
      </c>
      <c r="AQ47" s="240">
        <f t="shared" si="26"/>
        <v>43406</v>
      </c>
      <c r="AR47" s="240">
        <f t="shared" ref="AR47:AS47" si="27">AR43</f>
        <v>43413</v>
      </c>
      <c r="AS47" s="240">
        <f t="shared" si="27"/>
        <v>43420</v>
      </c>
      <c r="AT47" s="240">
        <f t="shared" ref="AT47:AU47" si="28">AT43</f>
        <v>43434</v>
      </c>
      <c r="AU47" s="240">
        <f t="shared" si="28"/>
        <v>43448</v>
      </c>
      <c r="AV47" s="407">
        <f t="shared" ref="AV47" si="29">AV43</f>
        <v>43465</v>
      </c>
    </row>
    <row r="48" spans="1:48" s="245" customFormat="1" ht="31.5" x14ac:dyDescent="0.25">
      <c r="B48" s="300" t="s">
        <v>136</v>
      </c>
      <c r="C48" s="368" t="s">
        <v>147</v>
      </c>
      <c r="D48" s="244">
        <f t="shared" ref="D48:I48" si="30">D44/3251220.5-1</f>
        <v>0</v>
      </c>
      <c r="E48" s="244">
        <f t="shared" si="30"/>
        <v>4.5452684614900818E-2</v>
      </c>
      <c r="F48" s="244">
        <f t="shared" si="30"/>
        <v>2.2713162641537332E-2</v>
      </c>
      <c r="G48" s="244">
        <f t="shared" si="30"/>
        <v>2.1039421964766714E-2</v>
      </c>
      <c r="H48" s="244">
        <f t="shared" si="30"/>
        <v>2.1149165367282841E-2</v>
      </c>
      <c r="I48" s="244">
        <f t="shared" si="30"/>
        <v>-2.7792024564312623E-3</v>
      </c>
      <c r="J48" s="244">
        <f t="shared" ref="J48:K48" si="31">J44/3251220.5-1</f>
        <v>2.311230505590145E-2</v>
      </c>
      <c r="K48" s="244">
        <f t="shared" si="31"/>
        <v>7.0822941722962218E-2</v>
      </c>
      <c r="L48" s="244">
        <f t="shared" ref="L48:M48" si="32">L44/3251220.5-1</f>
        <v>7.6272895055872203E-2</v>
      </c>
      <c r="M48" s="244">
        <f t="shared" si="32"/>
        <v>8.7876998807063345E-2</v>
      </c>
      <c r="N48" s="244">
        <f t="shared" ref="N48:O48" si="33">N44/3251220.5-1</f>
        <v>9.076068510271762E-2</v>
      </c>
      <c r="O48" s="244">
        <f t="shared" si="33"/>
        <v>6.8094120346497533E-2</v>
      </c>
      <c r="P48" s="244">
        <f t="shared" ref="P48:Q48" si="34">P44/3251220.5-1</f>
        <v>6.8016118869821396E-2</v>
      </c>
      <c r="Q48" s="244">
        <f t="shared" si="34"/>
        <v>3.4473884499682583E-2</v>
      </c>
      <c r="R48" s="244">
        <f t="shared" ref="R48:S48" si="35">R44/3251220.5-1</f>
        <v>3.5615978676315718E-2</v>
      </c>
      <c r="S48" s="244">
        <f t="shared" si="35"/>
        <v>2.8644639759130675E-2</v>
      </c>
      <c r="T48" s="244">
        <f t="shared" ref="T48:U48" si="36">T44/3251220.5-1</f>
        <v>-3.9941800317756515E-3</v>
      </c>
      <c r="U48" s="244">
        <f t="shared" si="36"/>
        <v>5.7550707495846787E-2</v>
      </c>
      <c r="V48" s="244">
        <f t="shared" ref="V48:W48" si="37">V44/3251220.5-1</f>
        <v>6.7565408129039772E-2</v>
      </c>
      <c r="W48" s="244">
        <f t="shared" si="37"/>
        <v>5.6822365631614247E-2</v>
      </c>
      <c r="X48" s="244">
        <f t="shared" ref="X48:Y48" si="38">X44/3251220.5-1</f>
        <v>0.10125121934977965</v>
      </c>
      <c r="Y48" s="244">
        <f t="shared" si="38"/>
        <v>0.11600014210048193</v>
      </c>
      <c r="Z48" s="244">
        <f t="shared" ref="Z48:AA48" si="39">Z44/3251220.5-1</f>
        <v>9.2920809277623695E-2</v>
      </c>
      <c r="AA48" s="244">
        <f t="shared" si="39"/>
        <v>7.6669681431942305E-2</v>
      </c>
      <c r="AB48" s="244">
        <f t="shared" ref="AB48:AC48" si="40">AB44/3251220.5-1</f>
        <v>3.7020571197801111E-2</v>
      </c>
      <c r="AC48" s="244">
        <f t="shared" si="40"/>
        <v>-3.1898777705172465E-2</v>
      </c>
      <c r="AD48" s="244">
        <f t="shared" ref="AD48:AE48" si="41">AD44/3251220.5-1</f>
        <v>8.4226228273351689E-2</v>
      </c>
      <c r="AE48" s="244">
        <f t="shared" si="41"/>
        <v>6.34684851427334E-2</v>
      </c>
      <c r="AF48" s="244">
        <f t="shared" ref="AF48:AG48" si="42">AF44/3251220.5-1</f>
        <v>9.3922279340943104E-2</v>
      </c>
      <c r="AG48" s="244">
        <f t="shared" si="42"/>
        <v>0.16702959396325157</v>
      </c>
      <c r="AH48" s="244">
        <f t="shared" ref="AH48:AI48" si="43">AH44/3251220.5-1</f>
        <v>0.19324990107561169</v>
      </c>
      <c r="AI48" s="244">
        <f t="shared" si="43"/>
        <v>0.18592096106677491</v>
      </c>
      <c r="AJ48" s="244">
        <f t="shared" ref="AJ48:AK48" si="44">AJ44/3251220.5-1</f>
        <v>0.21824113129207934</v>
      </c>
      <c r="AK48" s="244">
        <f t="shared" si="44"/>
        <v>0.15537612413553648</v>
      </c>
      <c r="AL48" s="244">
        <f t="shared" ref="AL48:AM48" si="45">AL44/3251220.5-1</f>
        <v>8.8869407657832022E-2</v>
      </c>
      <c r="AM48" s="244">
        <f t="shared" si="45"/>
        <v>0.1622498504792278</v>
      </c>
      <c r="AN48" s="244">
        <f t="shared" ref="AN48:AO48" si="46">AN44/3251220.5-1</f>
        <v>0.1410824150499792</v>
      </c>
      <c r="AO48" s="244">
        <f t="shared" si="46"/>
        <v>0.17772711509416239</v>
      </c>
      <c r="AP48" s="244">
        <f t="shared" ref="AP48:AQ48" si="47">AP44/3251220.5-1</f>
        <v>0.19047309771822629</v>
      </c>
      <c r="AQ48" s="244">
        <f t="shared" si="47"/>
        <v>0.13766831256139067</v>
      </c>
      <c r="AR48" s="244">
        <f t="shared" ref="AR48:AS48" si="48">AR44/3251220.5-1</f>
        <v>0.1233290821093187</v>
      </c>
      <c r="AS48" s="244">
        <f t="shared" si="48"/>
        <v>0.10735108246272462</v>
      </c>
      <c r="AT48" s="244">
        <f t="shared" ref="AT48:AU48" si="49">AT44/3251220.5-1</f>
        <v>0.13129532124935861</v>
      </c>
      <c r="AU48" s="244">
        <f t="shared" si="49"/>
        <v>3.2570396255806378E-2</v>
      </c>
      <c r="AV48" s="408">
        <f t="shared" ref="AV48" si="50">AV44/3251220.5-1</f>
        <v>4.0218447195445872E-2</v>
      </c>
    </row>
    <row r="49" spans="2:48" s="245" customFormat="1" ht="32.25" thickBot="1" x14ac:dyDescent="0.3">
      <c r="B49" s="301" t="s">
        <v>143</v>
      </c>
      <c r="C49" s="367" t="s">
        <v>146</v>
      </c>
      <c r="D49" s="248">
        <f t="shared" ref="D49:I49" si="51">D45/2109.74-1</f>
        <v>0</v>
      </c>
      <c r="E49" s="248">
        <f t="shared" si="51"/>
        <v>7.2350147411529564E-2</v>
      </c>
      <c r="F49" s="248">
        <f t="shared" si="51"/>
        <v>8.3702257150170212E-2</v>
      </c>
      <c r="G49" s="248">
        <f t="shared" si="51"/>
        <v>8.7935006209296063E-2</v>
      </c>
      <c r="H49" s="248">
        <f t="shared" si="51"/>
        <v>8.1574032819210052E-2</v>
      </c>
      <c r="I49" s="248">
        <f t="shared" si="51"/>
        <v>4.1417425843942812E-2</v>
      </c>
      <c r="J49" s="248">
        <f t="shared" ref="J49:K49" si="52">J45/2109.74-1</f>
        <v>6.898006389412914E-2</v>
      </c>
      <c r="K49" s="248">
        <f t="shared" si="52"/>
        <v>0.10763411605221518</v>
      </c>
      <c r="L49" s="248">
        <f t="shared" ref="L49:M49" si="53">L45/2109.74-1</f>
        <v>8.4891977210462155E-2</v>
      </c>
      <c r="M49" s="248">
        <f t="shared" si="53"/>
        <v>8.7622171452406583E-2</v>
      </c>
      <c r="N49" s="248">
        <f t="shared" ref="N49:O49" si="54">N45/2109.74-1</f>
        <v>8.3323063505455819E-2</v>
      </c>
      <c r="O49" s="248">
        <f t="shared" si="54"/>
        <v>7.6426479092210453E-2</v>
      </c>
      <c r="P49" s="248">
        <f t="shared" ref="P49:Q49" si="55">P45/2109.74-1</f>
        <v>8.1284897665115263E-2</v>
      </c>
      <c r="Q49" s="248">
        <f t="shared" si="55"/>
        <v>5.8263103510385106E-2</v>
      </c>
      <c r="R49" s="248">
        <f t="shared" ref="R49:S49" si="56">R45/2109.74-1</f>
        <v>8.8901950003318131E-2</v>
      </c>
      <c r="S49" s="248">
        <f t="shared" si="56"/>
        <v>8.5190592205674598E-2</v>
      </c>
      <c r="T49" s="248">
        <f t="shared" ref="T49:U49" si="57">T45/2109.74-1</f>
        <v>0.11163460900395328</v>
      </c>
      <c r="U49" s="248">
        <f t="shared" si="57"/>
        <v>0.10295107453999086</v>
      </c>
      <c r="V49" s="248">
        <f t="shared" ref="V49:W49" si="58">V45/2109.74-1</f>
        <v>9.329585636144766E-2</v>
      </c>
      <c r="W49" s="248">
        <f t="shared" si="58"/>
        <v>9.1546825675201893E-2</v>
      </c>
      <c r="X49" s="248">
        <f t="shared" ref="X49:Y49" si="59">X45/2109.74-1</f>
        <v>8.1417615440765534E-2</v>
      </c>
      <c r="Y49" s="248">
        <f t="shared" si="59"/>
        <v>6.0571444822584919E-2</v>
      </c>
      <c r="Z49" s="248">
        <f t="shared" ref="Z49:AA49" si="60">Z45/2109.74-1</f>
        <v>6.633044830168644E-2</v>
      </c>
      <c r="AA49" s="248">
        <f t="shared" si="60"/>
        <v>8.8262060727862135E-2</v>
      </c>
      <c r="AB49" s="248">
        <f t="shared" ref="AB49:AC49" si="61">AB45/2109.74-1</f>
        <v>0.11169148805066054</v>
      </c>
      <c r="AC49" s="248">
        <f t="shared" si="61"/>
        <v>0.11218917970934816</v>
      </c>
      <c r="AD49" s="248">
        <f t="shared" ref="AD49:AE49" si="62">AD45/2109.74-1</f>
        <v>6.5448823077725482E-2</v>
      </c>
      <c r="AE49" s="248">
        <f t="shared" si="62"/>
        <v>8.6731066387327305E-2</v>
      </c>
      <c r="AF49" s="248">
        <f t="shared" ref="AF49:AG49" si="63">AF45/2109.74-1</f>
        <v>8.9229004521884203E-2</v>
      </c>
      <c r="AG49" s="248">
        <f t="shared" si="63"/>
        <v>7.8355626759695651E-2</v>
      </c>
      <c r="AH49" s="248">
        <f t="shared" ref="AH49:AI49" si="64">AH45/2109.74-1</f>
        <v>8.0588129342952453E-2</v>
      </c>
      <c r="AI49" s="248">
        <f t="shared" si="64"/>
        <v>0.11191426431693019</v>
      </c>
      <c r="AJ49" s="248">
        <f t="shared" ref="AJ49:AK49" si="65">AJ45/2109.74-1</f>
        <v>0.10052423521381804</v>
      </c>
      <c r="AK49" s="248">
        <f t="shared" si="65"/>
        <v>0.11874448984235042</v>
      </c>
      <c r="AL49" s="248">
        <f t="shared" ref="AL49:AM49" si="66">AL45/2109.74-1</f>
        <v>0.17330097547565115</v>
      </c>
      <c r="AM49" s="248">
        <f t="shared" si="66"/>
        <v>0.16170712978850488</v>
      </c>
      <c r="AN49" s="248">
        <f t="shared" ref="AN49:AO49" si="67">AN45/2109.74-1</f>
        <v>0.13901239015234124</v>
      </c>
      <c r="AO49" s="248">
        <f t="shared" si="67"/>
        <v>0.1114118327376834</v>
      </c>
      <c r="AP49" s="248">
        <f t="shared" ref="AP49:AQ49" si="68">AP45/2109.74-1</f>
        <v>8.6968062415273995E-2</v>
      </c>
      <c r="AQ49" s="248">
        <f t="shared" si="68"/>
        <v>0.12712940931109995</v>
      </c>
      <c r="AR49" s="248">
        <f t="shared" ref="AR49:AS49" si="69">AR45/2109.74-1</f>
        <v>0.13922568657749301</v>
      </c>
      <c r="AS49" s="248">
        <f t="shared" si="69"/>
        <v>0.12462673125598434</v>
      </c>
      <c r="AT49" s="248">
        <f t="shared" ref="AT49:AU49" si="70">AT45/2109.74-1</f>
        <v>0.13402599372434532</v>
      </c>
      <c r="AU49" s="248">
        <f t="shared" si="70"/>
        <v>0.12131826670585011</v>
      </c>
      <c r="AV49" s="409">
        <f t="shared" ref="AV49" si="71">AV45/2109.74-1</f>
        <v>0.12304359778930118</v>
      </c>
    </row>
    <row r="50" spans="2:48" s="380" customFormat="1" ht="15.75" customHeight="1" x14ac:dyDescent="0.2">
      <c r="B50" s="380" t="s">
        <v>139</v>
      </c>
      <c r="E50" s="381">
        <f t="shared" ref="E50:I50" si="72">(1+E48)/(1+D48)-1</f>
        <v>4.5452684614900818E-2</v>
      </c>
      <c r="F50" s="381">
        <f t="shared" si="72"/>
        <v>-2.1750885820088328E-2</v>
      </c>
      <c r="G50" s="381">
        <f t="shared" si="72"/>
        <v>-1.6365690184797499E-3</v>
      </c>
      <c r="H50" s="381">
        <f t="shared" si="72"/>
        <v>1.0748204247090776E-4</v>
      </c>
      <c r="I50" s="381">
        <f t="shared" si="72"/>
        <v>-2.3432783999884688E-2</v>
      </c>
      <c r="J50" s="381">
        <f t="shared" ref="J50:L51" si="73">(1+J48)/(1+I48)-1</f>
        <v>2.5963665796091107E-2</v>
      </c>
      <c r="K50" s="381">
        <f t="shared" si="73"/>
        <v>4.6632844147499464E-2</v>
      </c>
      <c r="L50" s="381">
        <f t="shared" si="73"/>
        <v>5.0894999729282908E-3</v>
      </c>
      <c r="M50" s="381">
        <f t="shared" ref="M50:AV50" si="74">(1+M48)/(1+L48)-1</f>
        <v>1.0781748573709837E-2</v>
      </c>
      <c r="N50" s="381">
        <f t="shared" si="74"/>
        <v>2.650746636629453E-3</v>
      </c>
      <c r="O50" s="381">
        <f t="shared" si="74"/>
        <v>-2.0780511312695094E-2</v>
      </c>
      <c r="P50" s="381">
        <f t="shared" si="74"/>
        <v>-7.3028654675844074E-5</v>
      </c>
      <c r="Q50" s="381">
        <f t="shared" si="74"/>
        <v>-3.1406112489793969E-2</v>
      </c>
      <c r="R50" s="381">
        <f t="shared" si="74"/>
        <v>1.1040338414975981E-3</v>
      </c>
      <c r="S50" s="381">
        <f t="shared" si="74"/>
        <v>-6.7315868630141162E-3</v>
      </c>
      <c r="T50" s="381">
        <f t="shared" si="74"/>
        <v>-3.1729927449531181E-2</v>
      </c>
      <c r="U50" s="381">
        <f t="shared" si="74"/>
        <v>6.1791694680645382E-2</v>
      </c>
      <c r="V50" s="381">
        <f t="shared" si="74"/>
        <v>9.4697120073861107E-3</v>
      </c>
      <c r="W50" s="381">
        <f t="shared" si="74"/>
        <v>-1.0063123454190248E-2</v>
      </c>
      <c r="X50" s="381">
        <f t="shared" si="74"/>
        <v>4.2040039237447813E-2</v>
      </c>
      <c r="Y50" s="381">
        <f t="shared" si="74"/>
        <v>1.3392877566492656E-2</v>
      </c>
      <c r="Z50" s="381">
        <f t="shared" si="74"/>
        <v>-2.0680403122009805E-2</v>
      </c>
      <c r="AA50" s="381">
        <f t="shared" si="74"/>
        <v>-1.4869446814195775E-2</v>
      </c>
      <c r="AB50" s="381">
        <f t="shared" si="74"/>
        <v>-3.682569586375728E-2</v>
      </c>
      <c r="AC50" s="381">
        <f t="shared" si="74"/>
        <v>-6.6458998805943525E-2</v>
      </c>
      <c r="AD50" s="381">
        <f t="shared" si="74"/>
        <v>0.11995130602485626</v>
      </c>
      <c r="AE50" s="381">
        <f t="shared" si="74"/>
        <v>-1.9145213968560171E-2</v>
      </c>
      <c r="AF50" s="381">
        <f t="shared" si="74"/>
        <v>2.8636292117412809E-2</v>
      </c>
      <c r="AG50" s="381">
        <f t="shared" si="74"/>
        <v>6.6830446735533622E-2</v>
      </c>
      <c r="AH50" s="381">
        <f t="shared" si="74"/>
        <v>2.2467559732838982E-2</v>
      </c>
      <c r="AI50" s="381">
        <f t="shared" si="74"/>
        <v>-6.1419992595267425E-3</v>
      </c>
      <c r="AJ50" s="381">
        <f t="shared" si="74"/>
        <v>2.7253224528750453E-2</v>
      </c>
      <c r="AK50" s="381">
        <f t="shared" si="74"/>
        <v>-5.1603090342112745E-2</v>
      </c>
      <c r="AL50" s="381">
        <f t="shared" si="74"/>
        <v>-5.7562827453670473E-2</v>
      </c>
      <c r="AM50" s="381">
        <f t="shared" si="74"/>
        <v>6.7391408285808918E-2</v>
      </c>
      <c r="AN50" s="381">
        <f t="shared" si="74"/>
        <v>-1.8212465607563399E-2</v>
      </c>
      <c r="AO50" s="381">
        <f t="shared" si="74"/>
        <v>3.2113981918280743E-2</v>
      </c>
      <c r="AP50" s="381">
        <f t="shared" si="74"/>
        <v>1.0822526254772313E-2</v>
      </c>
      <c r="AQ50" s="381">
        <f t="shared" si="74"/>
        <v>-4.4356134765284772E-2</v>
      </c>
      <c r="AR50" s="381">
        <f t="shared" si="74"/>
        <v>-1.2604051896099699E-2</v>
      </c>
      <c r="AS50" s="381">
        <f t="shared" si="74"/>
        <v>-1.4223792387348833E-2</v>
      </c>
      <c r="AT50" s="381">
        <f t="shared" si="74"/>
        <v>2.1622987655714798E-2</v>
      </c>
      <c r="AU50" s="381">
        <f t="shared" si="74"/>
        <v>-8.7267155745437197E-2</v>
      </c>
      <c r="AV50" s="381">
        <f t="shared" si="74"/>
        <v>7.4068082596325802E-3</v>
      </c>
    </row>
    <row r="51" spans="2:48" s="380" customFormat="1" ht="15.75" customHeight="1" x14ac:dyDescent="0.2">
      <c r="B51" s="380" t="s">
        <v>144</v>
      </c>
      <c r="E51" s="381">
        <f t="shared" ref="E51:I51" si="75">(1+E49)/(1+D49)-1</f>
        <v>7.2350147411529564E-2</v>
      </c>
      <c r="F51" s="381">
        <f t="shared" si="75"/>
        <v>1.0586196836959161E-2</v>
      </c>
      <c r="G51" s="381">
        <f t="shared" si="75"/>
        <v>3.9058228689647922E-3</v>
      </c>
      <c r="H51" s="381">
        <f t="shared" si="75"/>
        <v>-5.8468321671618639E-3</v>
      </c>
      <c r="I51" s="381">
        <f t="shared" si="75"/>
        <v>-3.7127931844476492E-2</v>
      </c>
      <c r="J51" s="381">
        <f t="shared" si="73"/>
        <v>2.6466465190795319E-2</v>
      </c>
      <c r="K51" s="381">
        <f t="shared" si="73"/>
        <v>3.6159750273803359E-2</v>
      </c>
      <c r="L51" s="381">
        <f t="shared" si="73"/>
        <v>-2.0532176205270369E-2</v>
      </c>
      <c r="M51" s="381">
        <f t="shared" ref="M51:AV51" si="76">(1+M49)/(1+L49)-1</f>
        <v>2.5165586061060008E-3</v>
      </c>
      <c r="N51" s="381">
        <f t="shared" si="76"/>
        <v>-3.9527586507451806E-3</v>
      </c>
      <c r="O51" s="381">
        <f t="shared" si="76"/>
        <v>-6.3661382698981805E-3</v>
      </c>
      <c r="P51" s="381">
        <f t="shared" si="76"/>
        <v>4.5134699557021207E-3</v>
      </c>
      <c r="Q51" s="381">
        <f t="shared" si="76"/>
        <v>-2.1291145566207925E-2</v>
      </c>
      <c r="R51" s="381">
        <f t="shared" si="76"/>
        <v>2.8952012397768012E-2</v>
      </c>
      <c r="S51" s="381">
        <f t="shared" si="76"/>
        <v>-3.4083489313544435E-3</v>
      </c>
      <c r="T51" s="381">
        <f t="shared" si="76"/>
        <v>2.4368085190022315E-2</v>
      </c>
      <c r="U51" s="381">
        <f t="shared" si="76"/>
        <v>-7.811500643851832E-3</v>
      </c>
      <c r="V51" s="381">
        <f t="shared" si="76"/>
        <v>-8.753985921424623E-3</v>
      </c>
      <c r="W51" s="381">
        <f t="shared" si="76"/>
        <v>-1.5997780253796945E-3</v>
      </c>
      <c r="X51" s="381">
        <f t="shared" si="76"/>
        <v>-9.2796845688875029E-3</v>
      </c>
      <c r="Y51" s="381">
        <f t="shared" si="76"/>
        <v>-1.927670709310958E-2</v>
      </c>
      <c r="Z51" s="381">
        <f t="shared" si="76"/>
        <v>5.4300947920249421E-3</v>
      </c>
      <c r="AA51" s="381">
        <f t="shared" si="76"/>
        <v>2.0567369581451445E-2</v>
      </c>
      <c r="AB51" s="381">
        <f t="shared" si="76"/>
        <v>2.1529214486378567E-2</v>
      </c>
      <c r="AC51" s="381">
        <f t="shared" si="76"/>
        <v>4.4768864746846937E-4</v>
      </c>
      <c r="AD51" s="381">
        <f t="shared" si="76"/>
        <v>-4.2025545189926627E-2</v>
      </c>
      <c r="AE51" s="381">
        <f t="shared" si="76"/>
        <v>1.9974909022964171E-2</v>
      </c>
      <c r="AF51" s="381">
        <f t="shared" si="76"/>
        <v>2.2985798527512813E-3</v>
      </c>
      <c r="AG51" s="381">
        <f t="shared" si="76"/>
        <v>-9.9826370001608877E-3</v>
      </c>
      <c r="AH51" s="381">
        <f t="shared" si="76"/>
        <v>2.0702841695787733E-3</v>
      </c>
      <c r="AI51" s="381">
        <f t="shared" si="76"/>
        <v>2.8989893673018186E-2</v>
      </c>
      <c r="AJ51" s="381">
        <f t="shared" si="76"/>
        <v>-1.0243621714943307E-2</v>
      </c>
      <c r="AK51" s="381">
        <f t="shared" si="76"/>
        <v>1.6555977638232022E-2</v>
      </c>
      <c r="AL51" s="381">
        <f t="shared" si="76"/>
        <v>4.8765813935752744E-2</v>
      </c>
      <c r="AM51" s="381">
        <f t="shared" si="76"/>
        <v>-9.8813909895933971E-3</v>
      </c>
      <c r="AN51" s="381">
        <f t="shared" si="76"/>
        <v>-1.9535680770329189E-2</v>
      </c>
      <c r="AO51" s="381">
        <f t="shared" si="76"/>
        <v>-2.423200805652892E-2</v>
      </c>
      <c r="AP51" s="381">
        <f t="shared" si="76"/>
        <v>-2.1993440777212436E-2</v>
      </c>
      <c r="AQ51" s="381">
        <f t="shared" si="76"/>
        <v>3.6948046851152494E-2</v>
      </c>
      <c r="AR51" s="381">
        <f t="shared" si="76"/>
        <v>1.0731932967471991E-2</v>
      </c>
      <c r="AS51" s="381">
        <f t="shared" si="76"/>
        <v>-1.2814805260727091E-2</v>
      </c>
      <c r="AT51" s="381">
        <f t="shared" si="76"/>
        <v>8.3576730013021905E-3</v>
      </c>
      <c r="AU51" s="381">
        <f t="shared" si="76"/>
        <v>-1.1205851619644713E-2</v>
      </c>
      <c r="AV51" s="381">
        <f t="shared" si="76"/>
        <v>1.5386631384501914E-3</v>
      </c>
    </row>
    <row r="52" spans="2:48" ht="15.75" customHeight="1" x14ac:dyDescent="0.4">
      <c r="B52" s="227"/>
      <c r="C52" s="227"/>
    </row>
    <row r="53" spans="2:48" ht="15.75" customHeight="1" x14ac:dyDescent="0.4">
      <c r="B53" s="227"/>
      <c r="C53" s="227"/>
    </row>
    <row r="54" spans="2:48" ht="15.75" customHeight="1" x14ac:dyDescent="0.4">
      <c r="B54" s="227"/>
      <c r="C54" s="227"/>
    </row>
    <row r="55" spans="2:48" ht="15.75" customHeight="1" x14ac:dyDescent="0.4">
      <c r="B55" s="227"/>
      <c r="C55" s="227"/>
    </row>
    <row r="56" spans="2:48" ht="15.75" customHeight="1" x14ac:dyDescent="0.4">
      <c r="B56" s="227"/>
      <c r="C56" s="227"/>
    </row>
    <row r="57" spans="2:48" ht="15.75" customHeight="1" x14ac:dyDescent="0.4">
      <c r="B57" s="227"/>
      <c r="C57" s="227"/>
    </row>
    <row r="58" spans="2:48" ht="15.75" customHeight="1" x14ac:dyDescent="0.4">
      <c r="B58" s="227"/>
      <c r="C58" s="227"/>
    </row>
    <row r="59" spans="2:48" ht="15.75" customHeight="1" x14ac:dyDescent="0.4">
      <c r="B59" s="227"/>
      <c r="C59" s="227"/>
    </row>
    <row r="60" spans="2:48" ht="15.75" customHeight="1" x14ac:dyDescent="0.4">
      <c r="B60" s="227"/>
      <c r="C60" s="227"/>
    </row>
    <row r="61" spans="2:48" ht="15.75" customHeight="1" x14ac:dyDescent="0.4">
      <c r="B61" s="227"/>
      <c r="C61" s="227"/>
    </row>
    <row r="62" spans="2:48" ht="15.75" customHeight="1" x14ac:dyDescent="0.4">
      <c r="B62" s="227"/>
      <c r="C62" s="227"/>
    </row>
    <row r="63" spans="2:48" ht="15.75" customHeight="1" x14ac:dyDescent="0.4">
      <c r="B63" s="227"/>
      <c r="C63" s="227"/>
    </row>
    <row r="64" spans="2:48" ht="15.75" customHeight="1" x14ac:dyDescent="0.4">
      <c r="B64" s="227"/>
      <c r="C64" s="227"/>
    </row>
    <row r="65" spans="1:3" ht="15.75" customHeight="1" x14ac:dyDescent="0.4">
      <c r="B65" s="227"/>
      <c r="C65" s="227"/>
    </row>
    <row r="66" spans="1:3" ht="15.75" customHeight="1" x14ac:dyDescent="0.4">
      <c r="B66" s="227"/>
      <c r="C66" s="227"/>
    </row>
    <row r="67" spans="1:3" ht="15.75" customHeight="1" x14ac:dyDescent="0.4">
      <c r="B67" s="227"/>
      <c r="C67" s="227"/>
    </row>
    <row r="68" spans="1:3" ht="15.75" customHeight="1" x14ac:dyDescent="0.4">
      <c r="B68" s="227"/>
      <c r="C68" s="227"/>
    </row>
    <row r="69" spans="1:3" ht="15.75" customHeight="1" x14ac:dyDescent="0.4">
      <c r="B69" s="227"/>
      <c r="C69" s="227"/>
    </row>
    <row r="70" spans="1:3" ht="15.75" customHeight="1" x14ac:dyDescent="0.4">
      <c r="B70" s="227"/>
      <c r="C70" s="227"/>
    </row>
    <row r="71" spans="1:3" ht="15.75" customHeight="1" x14ac:dyDescent="0.4">
      <c r="B71" s="227"/>
      <c r="C71" s="227"/>
    </row>
    <row r="72" spans="1:3" ht="15.75" customHeight="1" x14ac:dyDescent="0.4">
      <c r="B72" s="227"/>
      <c r="C72" s="227"/>
    </row>
    <row r="73" spans="1:3" ht="15.75" customHeight="1" x14ac:dyDescent="0.4">
      <c r="B73" s="227"/>
      <c r="C73" s="227"/>
    </row>
    <row r="74" spans="1:3" s="249" customFormat="1" x14ac:dyDescent="0.25">
      <c r="B74" s="249" t="s">
        <v>77</v>
      </c>
    </row>
    <row r="75" spans="1:3" s="249" customFormat="1" x14ac:dyDescent="0.25"/>
    <row r="76" spans="1:3" s="249" customFormat="1" x14ac:dyDescent="0.25"/>
    <row r="77" spans="1:3" s="249" customFormat="1" x14ac:dyDescent="0.25"/>
    <row r="78" spans="1:3" s="297" customFormat="1" ht="26.25" customHeight="1" x14ac:dyDescent="0.4"/>
    <row r="79" spans="1:3" s="297" customFormat="1" ht="26.25" x14ac:dyDescent="0.4">
      <c r="A79" s="297" t="s">
        <v>152</v>
      </c>
    </row>
    <row r="80" spans="1:3" ht="10.5" customHeight="1" thickBot="1" x14ac:dyDescent="0.3"/>
    <row r="81" spans="2:25" s="232" customFormat="1" x14ac:dyDescent="0.25">
      <c r="B81" s="229"/>
      <c r="C81" s="230"/>
      <c r="D81" s="231">
        <v>42804</v>
      </c>
      <c r="E81" s="231">
        <v>42947</v>
      </c>
      <c r="F81" s="231">
        <v>42958</v>
      </c>
      <c r="G81" s="231">
        <v>42965</v>
      </c>
      <c r="H81" s="231">
        <v>42972</v>
      </c>
      <c r="I81" s="231">
        <v>42978</v>
      </c>
      <c r="J81" s="231">
        <v>42986</v>
      </c>
      <c r="K81" s="231">
        <v>42993</v>
      </c>
      <c r="L81" s="231">
        <v>43000</v>
      </c>
      <c r="M81" s="231">
        <v>43007</v>
      </c>
      <c r="N81" s="231">
        <v>43014</v>
      </c>
      <c r="O81" s="231">
        <v>43021</v>
      </c>
      <c r="P81" s="231">
        <v>43028</v>
      </c>
      <c r="Q81" s="231">
        <v>43035</v>
      </c>
      <c r="R81" s="231">
        <v>43042</v>
      </c>
      <c r="S81" s="231">
        <v>43049</v>
      </c>
      <c r="T81" s="231">
        <v>43056</v>
      </c>
      <c r="U81" s="231">
        <v>43063</v>
      </c>
      <c r="V81" s="231">
        <v>43077</v>
      </c>
      <c r="W81" s="231">
        <v>43084</v>
      </c>
      <c r="X81" s="231">
        <v>43085</v>
      </c>
      <c r="Y81" s="231">
        <v>43100</v>
      </c>
    </row>
    <row r="82" spans="2:25" s="237" customFormat="1" ht="15.75" x14ac:dyDescent="0.25">
      <c r="B82" s="233" t="s">
        <v>70</v>
      </c>
      <c r="C82" s="234"/>
      <c r="D82" s="235">
        <v>3000000</v>
      </c>
      <c r="E82" s="235">
        <v>3294488.2799999993</v>
      </c>
      <c r="F82" s="235">
        <v>3375668.88</v>
      </c>
      <c r="G82" s="235">
        <v>3392604.2799999993</v>
      </c>
      <c r="H82" s="235">
        <v>3564929.1799999997</v>
      </c>
      <c r="I82" s="235">
        <v>3679742.6799999997</v>
      </c>
      <c r="J82" s="235">
        <v>3582958.5799999991</v>
      </c>
      <c r="K82" s="235">
        <v>3585190.0799999991</v>
      </c>
      <c r="L82" s="235">
        <v>3559122.38</v>
      </c>
      <c r="M82" s="235">
        <v>3568537.4799999995</v>
      </c>
      <c r="N82" s="275">
        <v>3562722.08</v>
      </c>
      <c r="O82" s="275">
        <v>3584889.08</v>
      </c>
      <c r="P82" s="275">
        <v>3566379.58</v>
      </c>
      <c r="Q82" s="235">
        <v>3584447.2800000007</v>
      </c>
      <c r="R82" s="235">
        <v>3493456.9800000009</v>
      </c>
      <c r="S82" s="235">
        <v>3497019.080000001</v>
      </c>
      <c r="T82" s="235">
        <v>3433549.6800000011</v>
      </c>
      <c r="U82" s="275">
        <v>3465520.6800000006</v>
      </c>
      <c r="V82" s="275">
        <v>3318072.6800000006</v>
      </c>
      <c r="W82" s="275">
        <v>3377806.4800000004</v>
      </c>
      <c r="X82" s="275">
        <v>3311373.1800000006</v>
      </c>
      <c r="Y82" s="236">
        <v>3399695.9800000004</v>
      </c>
    </row>
    <row r="83" spans="2:25" s="237" customFormat="1" ht="15.75" x14ac:dyDescent="0.25">
      <c r="B83" s="233" t="s">
        <v>71</v>
      </c>
      <c r="C83" s="234"/>
      <c r="D83" s="235">
        <v>1973.96</v>
      </c>
      <c r="E83" s="235">
        <v>1919.53</v>
      </c>
      <c r="F83" s="235">
        <v>1944.83</v>
      </c>
      <c r="G83" s="235">
        <v>1930.71</v>
      </c>
      <c r="H83" s="235">
        <v>1979.14</v>
      </c>
      <c r="I83" s="235">
        <v>2022.22</v>
      </c>
      <c r="J83" s="235">
        <v>2032.75</v>
      </c>
      <c r="K83" s="235">
        <v>2053.81</v>
      </c>
      <c r="L83" s="235">
        <v>2051.63</v>
      </c>
      <c r="M83" s="235">
        <v>2077.1999999999998</v>
      </c>
      <c r="N83" s="275">
        <v>2093.86</v>
      </c>
      <c r="O83" s="275">
        <v>2098.77</v>
      </c>
      <c r="P83" s="275">
        <v>2071.83</v>
      </c>
      <c r="Q83" s="235">
        <v>2068.7600000000002</v>
      </c>
      <c r="R83" s="235">
        <v>2081.15</v>
      </c>
      <c r="S83" s="235">
        <v>2169.2600000000002</v>
      </c>
      <c r="T83" s="235">
        <v>2131.91</v>
      </c>
      <c r="U83" s="275">
        <v>2161.17</v>
      </c>
      <c r="V83" s="275">
        <v>2104.9899999999998</v>
      </c>
      <c r="W83" s="275">
        <v>2143.9899999999998</v>
      </c>
      <c r="X83" s="275">
        <v>2102.94</v>
      </c>
      <c r="Y83" s="236">
        <v>2109.7399999999998</v>
      </c>
    </row>
    <row r="84" spans="2:25" s="237" customFormat="1" ht="15.75" x14ac:dyDescent="0.25">
      <c r="B84" s="233"/>
      <c r="C84" s="234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75"/>
      <c r="O84" s="275"/>
      <c r="P84" s="275"/>
      <c r="Q84" s="235"/>
      <c r="R84" s="235"/>
      <c r="S84" s="235"/>
      <c r="T84" s="235"/>
      <c r="U84" s="275"/>
      <c r="V84" s="275"/>
      <c r="W84" s="275"/>
      <c r="X84" s="275"/>
      <c r="Y84" s="236"/>
    </row>
    <row r="85" spans="2:25" s="241" customFormat="1" ht="15.75" x14ac:dyDescent="0.25">
      <c r="B85" s="238"/>
      <c r="C85" s="239"/>
      <c r="D85" s="240">
        <f t="shared" ref="D85:L85" si="77">D81</f>
        <v>42804</v>
      </c>
      <c r="E85" s="240">
        <f t="shared" si="77"/>
        <v>42947</v>
      </c>
      <c r="F85" s="240">
        <f t="shared" si="77"/>
        <v>42958</v>
      </c>
      <c r="G85" s="240">
        <f t="shared" si="77"/>
        <v>42965</v>
      </c>
      <c r="H85" s="240">
        <f t="shared" si="77"/>
        <v>42972</v>
      </c>
      <c r="I85" s="240">
        <f t="shared" si="77"/>
        <v>42978</v>
      </c>
      <c r="J85" s="240">
        <f t="shared" si="77"/>
        <v>42986</v>
      </c>
      <c r="K85" s="240">
        <f t="shared" si="77"/>
        <v>42993</v>
      </c>
      <c r="L85" s="240">
        <f t="shared" si="77"/>
        <v>43000</v>
      </c>
      <c r="M85" s="240">
        <f t="shared" ref="M85:N85" si="78">M81</f>
        <v>43007</v>
      </c>
      <c r="N85" s="240">
        <f t="shared" si="78"/>
        <v>43014</v>
      </c>
      <c r="O85" s="240">
        <f t="shared" ref="O85:P85" si="79">O81</f>
        <v>43021</v>
      </c>
      <c r="P85" s="240">
        <f t="shared" si="79"/>
        <v>43028</v>
      </c>
      <c r="Q85" s="240">
        <f t="shared" ref="Q85" si="80">Q81</f>
        <v>43035</v>
      </c>
      <c r="R85" s="240">
        <f t="shared" ref="R85:S85" si="81">R81</f>
        <v>43042</v>
      </c>
      <c r="S85" s="240">
        <f t="shared" si="81"/>
        <v>43049</v>
      </c>
      <c r="T85" s="240">
        <f t="shared" ref="T85:U85" si="82">T81</f>
        <v>43056</v>
      </c>
      <c r="U85" s="240">
        <f t="shared" si="82"/>
        <v>43063</v>
      </c>
      <c r="V85" s="240">
        <f t="shared" ref="V85:W85" si="83">V81</f>
        <v>43077</v>
      </c>
      <c r="W85" s="240">
        <f t="shared" si="83"/>
        <v>43084</v>
      </c>
      <c r="X85" s="240">
        <f t="shared" ref="X85:Y85" si="84">X81</f>
        <v>43085</v>
      </c>
      <c r="Y85" s="240">
        <f t="shared" si="84"/>
        <v>43100</v>
      </c>
    </row>
    <row r="86" spans="2:25" s="245" customFormat="1" ht="47.25" x14ac:dyDescent="0.25">
      <c r="B86" s="242" t="s">
        <v>72</v>
      </c>
      <c r="C86" s="243" t="s">
        <v>74</v>
      </c>
      <c r="D86" s="244">
        <f t="shared" ref="D86:I86" si="85">D82/3000000-1</f>
        <v>0</v>
      </c>
      <c r="E86" s="244">
        <f t="shared" si="85"/>
        <v>9.8162759999999682E-2</v>
      </c>
      <c r="F86" s="244">
        <f t="shared" si="85"/>
        <v>0.12522295999999988</v>
      </c>
      <c r="G86" s="244">
        <f t="shared" si="85"/>
        <v>0.13086809333333305</v>
      </c>
      <c r="H86" s="244">
        <f t="shared" si="85"/>
        <v>0.18830972666666668</v>
      </c>
      <c r="I86" s="244">
        <f t="shared" si="85"/>
        <v>0.22658089333333331</v>
      </c>
      <c r="J86" s="244">
        <f t="shared" ref="J86:K86" si="86">J82/3000000-1</f>
        <v>0.19431952666666641</v>
      </c>
      <c r="K86" s="244">
        <f t="shared" si="86"/>
        <v>0.1950633599999998</v>
      </c>
      <c r="L86" s="244">
        <f t="shared" ref="L86:M86" si="87">L82/3000000-1</f>
        <v>0.18637412666666653</v>
      </c>
      <c r="M86" s="244">
        <f t="shared" si="87"/>
        <v>0.1895124933333332</v>
      </c>
      <c r="N86" s="244">
        <f t="shared" ref="N86:O86" si="88">N82/3000000-1</f>
        <v>0.18757402666666678</v>
      </c>
      <c r="O86" s="244">
        <f t="shared" si="88"/>
        <v>0.19496302666666665</v>
      </c>
      <c r="P86" s="244">
        <f t="shared" ref="P86" si="89">P82/3000000-1</f>
        <v>0.18879319333333333</v>
      </c>
      <c r="Q86" s="244">
        <f t="shared" ref="Q86" si="90">Q82/3000000-1</f>
        <v>0.19481576000000023</v>
      </c>
      <c r="R86" s="244">
        <f t="shared" ref="R86:S86" si="91">R82/3000000-1</f>
        <v>0.1644856600000002</v>
      </c>
      <c r="S86" s="244">
        <f t="shared" si="91"/>
        <v>0.16567302666666706</v>
      </c>
      <c r="T86" s="244">
        <f t="shared" ref="T86:U86" si="92">T82/3000000-1</f>
        <v>0.14451656000000046</v>
      </c>
      <c r="U86" s="244">
        <f t="shared" si="92"/>
        <v>0.15517356000000015</v>
      </c>
      <c r="V86" s="244">
        <f t="shared" ref="V86:W86" si="93">V82/3000000-1</f>
        <v>0.10602422666666689</v>
      </c>
      <c r="W86" s="244">
        <f t="shared" si="93"/>
        <v>0.12593549333333343</v>
      </c>
      <c r="X86" s="244">
        <f t="shared" ref="X86:Y86" si="94">X82/3000000-1</f>
        <v>0.10379106000000027</v>
      </c>
      <c r="Y86" s="244">
        <f t="shared" si="94"/>
        <v>0.13323199333333346</v>
      </c>
    </row>
    <row r="87" spans="2:25" s="245" customFormat="1" ht="32.25" thickBot="1" x14ac:dyDescent="0.3">
      <c r="B87" s="246" t="s">
        <v>73</v>
      </c>
      <c r="C87" s="247" t="s">
        <v>75</v>
      </c>
      <c r="D87" s="248">
        <f t="shared" ref="D87:I87" si="95">D83/1973.96-1</f>
        <v>0</v>
      </c>
      <c r="E87" s="248">
        <f t="shared" si="95"/>
        <v>-2.7574013657824858E-2</v>
      </c>
      <c r="F87" s="248">
        <f t="shared" si="95"/>
        <v>-1.4757137935925813E-2</v>
      </c>
      <c r="G87" s="248">
        <f t="shared" si="95"/>
        <v>-2.1910271738029174E-2</v>
      </c>
      <c r="H87" s="248">
        <f t="shared" si="95"/>
        <v>2.6241666497801575E-3</v>
      </c>
      <c r="I87" s="248">
        <f t="shared" si="95"/>
        <v>2.4448317088492155E-2</v>
      </c>
      <c r="J87" s="248">
        <f t="shared" ref="J87:K87" si="96">J83/1973.96-1</f>
        <v>2.9782771687369536E-2</v>
      </c>
      <c r="K87" s="248">
        <f t="shared" si="96"/>
        <v>4.0451680885124297E-2</v>
      </c>
      <c r="L87" s="248">
        <f t="shared" ref="L87:M87" si="97">L83/1973.96-1</f>
        <v>3.9347301870352069E-2</v>
      </c>
      <c r="M87" s="248">
        <f t="shared" si="97"/>
        <v>5.2300958479401638E-2</v>
      </c>
      <c r="N87" s="248">
        <f t="shared" ref="N87:O87" si="98">N83/1973.96-1</f>
        <v>6.0740845812478517E-2</v>
      </c>
      <c r="O87" s="248">
        <f t="shared" si="98"/>
        <v>6.3228231575107818E-2</v>
      </c>
      <c r="P87" s="248">
        <f t="shared" ref="P87" si="99">P83/1973.96-1</f>
        <v>4.9580538612737701E-2</v>
      </c>
      <c r="Q87" s="248">
        <f t="shared" ref="Q87" si="100">Q83/1973.96-1</f>
        <v>4.8025289266246718E-2</v>
      </c>
      <c r="R87" s="248">
        <f t="shared" ref="R87:S87" si="101">R83/1973.96-1</f>
        <v>5.4302012198828686E-2</v>
      </c>
      <c r="S87" s="248">
        <f t="shared" si="101"/>
        <v>9.8938175039007925E-2</v>
      </c>
      <c r="T87" s="248">
        <f t="shared" ref="T87:U87" si="102">T83/1973.96-1</f>
        <v>8.0016818983160709E-2</v>
      </c>
      <c r="U87" s="248">
        <f t="shared" si="102"/>
        <v>9.4839814383270271E-2</v>
      </c>
      <c r="V87" s="248">
        <f t="shared" ref="V87:W87" si="103">V83/1973.96-1</f>
        <v>6.6379257938357306E-2</v>
      </c>
      <c r="W87" s="248">
        <f t="shared" si="103"/>
        <v>8.6136497193458617E-2</v>
      </c>
      <c r="X87" s="248">
        <f t="shared" ref="X87:Y87" si="104">X83/1973.96-1</f>
        <v>6.5340736387768716E-2</v>
      </c>
      <c r="Y87" s="248">
        <f t="shared" si="104"/>
        <v>6.8785588360452898E-2</v>
      </c>
    </row>
    <row r="111" spans="2:2" s="249" customFormat="1" x14ac:dyDescent="0.25">
      <c r="B111" s="249" t="s">
        <v>77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2019-03-29T16:40:41Z</dcterms:modified>
</cp:coreProperties>
</file>