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анвал\"/>
    </mc:Choice>
  </mc:AlternateContent>
  <xr:revisionPtr revIDLastSave="0" documentId="13_ncr:1_{86B6440D-0ED4-461F-8502-6F24CC6F5C60}" xr6:coauthVersionLast="36" xr6:coauthVersionMax="36" xr10:uidLastSave="{00000000-0000-0000-0000-000000000000}"/>
  <bookViews>
    <workbookView xWindow="0" yWindow="0" windowWidth="20490" windowHeight="7530" firstSheet="2" activeTab="5" xr2:uid="{00000000-000D-0000-FFFF-FFFF00000000}"/>
  </bookViews>
  <sheets>
    <sheet name="Описание метода" sheetId="4" r:id="rId1"/>
    <sheet name="Модельный портфель" sheetId="5" r:id="rId2"/>
    <sheet name="ДДС" sheetId="1" r:id="rId3"/>
    <sheet name="Дивиденды" sheetId="3" r:id="rId4"/>
    <sheet name="История сделок и открытые позиц" sheetId="2" r:id="rId5"/>
    <sheet name="Аналитика" sheetId="6" r:id="rId6"/>
  </sheets>
  <definedNames>
    <definedName name="_xlnm._FilterDatabase" localSheetId="2" hidden="1">ДДС!$A$6:$L$47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9" i="6" l="1"/>
  <c r="AK10" i="6"/>
  <c r="AK11" i="6"/>
  <c r="AK13" i="6" s="1"/>
  <c r="AK12" i="6"/>
  <c r="AJ9" i="6" l="1"/>
  <c r="AJ10" i="6"/>
  <c r="AJ11" i="6"/>
  <c r="AI10" i="6" l="1"/>
  <c r="AI9" i="6"/>
  <c r="AI11" i="6"/>
  <c r="AJ12" i="6" l="1"/>
  <c r="AJ13" i="6"/>
  <c r="AH9" i="6"/>
  <c r="AH10" i="6"/>
  <c r="AH11" i="6"/>
  <c r="AI13" i="6" l="1"/>
  <c r="AH12" i="6"/>
  <c r="AI12" i="6"/>
  <c r="AG9" i="6"/>
  <c r="AG10" i="6"/>
  <c r="AG11" i="6"/>
  <c r="AG12" i="6" l="1"/>
  <c r="AH13" i="6"/>
  <c r="AF9" i="6"/>
  <c r="AF10" i="6"/>
  <c r="AF11" i="6"/>
  <c r="AG13" i="6" l="1"/>
  <c r="AE9" i="6"/>
  <c r="AE10" i="6"/>
  <c r="AF12" i="6" s="1"/>
  <c r="AE11" i="6"/>
  <c r="AF13" i="6" s="1"/>
  <c r="AD9" i="6" l="1"/>
  <c r="AD10" i="6"/>
  <c r="AD11" i="6"/>
  <c r="AE13" i="6" s="1"/>
  <c r="AE12" i="6" l="1"/>
  <c r="AC9" i="6"/>
  <c r="AC10" i="6"/>
  <c r="AC11" i="6"/>
  <c r="AD13" i="6" s="1"/>
  <c r="I39" i="1"/>
  <c r="K39" i="1" s="1"/>
  <c r="AD12" i="6" l="1"/>
  <c r="AB9" i="6"/>
  <c r="AB10" i="6"/>
  <c r="AC12" i="6" s="1"/>
  <c r="AB11" i="6"/>
  <c r="AC13" i="6" s="1"/>
  <c r="AA9" i="6" l="1"/>
  <c r="AA10" i="6"/>
  <c r="AB12" i="6" s="1"/>
  <c r="AA11" i="6"/>
  <c r="AB13" i="6" s="1"/>
  <c r="Z9" i="6" l="1"/>
  <c r="Z10" i="6"/>
  <c r="Z11" i="6"/>
  <c r="AA12" i="6" l="1"/>
  <c r="AA13" i="6"/>
  <c r="Y9" i="6"/>
  <c r="Y10" i="6"/>
  <c r="Y11" i="6"/>
  <c r="Z13" i="6" l="1"/>
  <c r="Z12" i="6"/>
  <c r="X9" i="6"/>
  <c r="X10" i="6"/>
  <c r="Y12" i="6" s="1"/>
  <c r="X11" i="6"/>
  <c r="Y13" i="6" s="1"/>
  <c r="W9" i="6" l="1"/>
  <c r="W10" i="6"/>
  <c r="W11" i="6"/>
  <c r="X12" i="6" l="1"/>
  <c r="X13" i="6"/>
  <c r="V9" i="6"/>
  <c r="V10" i="6"/>
  <c r="V11" i="6"/>
  <c r="W12" i="6" l="1"/>
  <c r="W13" i="6"/>
  <c r="U9" i="6"/>
  <c r="U10" i="6"/>
  <c r="U11" i="6"/>
  <c r="V13" i="6" l="1"/>
  <c r="V12" i="6"/>
  <c r="T9" i="6"/>
  <c r="T10" i="6"/>
  <c r="U12" i="6" s="1"/>
  <c r="T11" i="6"/>
  <c r="U13" i="6" s="1"/>
  <c r="I29" i="2" l="1"/>
  <c r="J29" i="2" s="1"/>
  <c r="S29" i="2"/>
  <c r="I38" i="1"/>
  <c r="K38" i="1" s="1"/>
  <c r="S9" i="6"/>
  <c r="S10" i="6"/>
  <c r="S11" i="6"/>
  <c r="T13" i="6" s="1"/>
  <c r="I28" i="2"/>
  <c r="N28" i="2" s="1"/>
  <c r="S28" i="2"/>
  <c r="I37" i="1"/>
  <c r="K37" i="1" s="1"/>
  <c r="R28" i="2" l="1"/>
  <c r="J28" i="2"/>
  <c r="O28" i="2" s="1"/>
  <c r="T12" i="6"/>
  <c r="N29" i="2"/>
  <c r="O29" i="2" s="1"/>
  <c r="R29" i="2"/>
  <c r="R9" i="6"/>
  <c r="R10" i="6"/>
  <c r="S12" i="6" s="1"/>
  <c r="R11" i="6"/>
  <c r="S13" i="6" s="1"/>
  <c r="D38" i="5"/>
  <c r="I35" i="5"/>
  <c r="H36" i="5"/>
  <c r="K36" i="5" s="1"/>
  <c r="K35" i="5"/>
  <c r="S27" i="2"/>
  <c r="I27" i="2"/>
  <c r="N27" i="2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S23" i="2"/>
  <c r="R23" i="2"/>
  <c r="N23" i="2"/>
  <c r="I23" i="2"/>
  <c r="J23" i="2" s="1"/>
  <c r="S22" i="2"/>
  <c r="R22" i="2"/>
  <c r="I22" i="2"/>
  <c r="J22" i="2" s="1"/>
  <c r="S21" i="2"/>
  <c r="I21" i="2"/>
  <c r="N21" i="2" s="1"/>
  <c r="S20" i="2"/>
  <c r="I20" i="2"/>
  <c r="N20" i="2" s="1"/>
  <c r="S19" i="2"/>
  <c r="I19" i="2"/>
  <c r="N19" i="2" s="1"/>
  <c r="S18" i="2"/>
  <c r="J18" i="2"/>
  <c r="I18" i="2"/>
  <c r="R18" i="2" s="1"/>
  <c r="S17" i="2"/>
  <c r="I17" i="2"/>
  <c r="N17" i="2" s="1"/>
  <c r="S16" i="2"/>
  <c r="I16" i="2"/>
  <c r="R16" i="2" s="1"/>
  <c r="O23" i="2" l="1"/>
  <c r="T28" i="2"/>
  <c r="U28" i="2" s="1"/>
  <c r="P28" i="2"/>
  <c r="R19" i="2"/>
  <c r="N22" i="2"/>
  <c r="O22" i="2" s="1"/>
  <c r="T22" i="2" s="1"/>
  <c r="U22" i="2" s="1"/>
  <c r="J19" i="2"/>
  <c r="O19" i="2" s="1"/>
  <c r="N18" i="2"/>
  <c r="O18" i="2" s="1"/>
  <c r="T18" i="2" s="1"/>
  <c r="U18" i="2" s="1"/>
  <c r="P29" i="2"/>
  <c r="T29" i="2"/>
  <c r="U29" i="2" s="1"/>
  <c r="J27" i="2"/>
  <c r="O27" i="2" s="1"/>
  <c r="P27" i="2" s="1"/>
  <c r="R27" i="2"/>
  <c r="P23" i="2"/>
  <c r="T23" i="2"/>
  <c r="U23" i="2" s="1"/>
  <c r="P18" i="2"/>
  <c r="J20" i="2"/>
  <c r="O20" i="2" s="1"/>
  <c r="R20" i="2"/>
  <c r="N16" i="2"/>
  <c r="J17" i="2"/>
  <c r="O17" i="2" s="1"/>
  <c r="R17" i="2"/>
  <c r="J21" i="2"/>
  <c r="O21" i="2" s="1"/>
  <c r="R21" i="2"/>
  <c r="J16" i="2"/>
  <c r="Q9" i="6"/>
  <c r="Q10" i="6"/>
  <c r="R12" i="6" s="1"/>
  <c r="Q11" i="6"/>
  <c r="R13" i="6" s="1"/>
  <c r="H15" i="5"/>
  <c r="K15" i="5" s="1"/>
  <c r="I34" i="2"/>
  <c r="J34" i="2" s="1"/>
  <c r="S34" i="2"/>
  <c r="S15" i="2"/>
  <c r="I15" i="2"/>
  <c r="N15" i="2" s="1"/>
  <c r="I29" i="1"/>
  <c r="J29" i="1" s="1"/>
  <c r="I28" i="1"/>
  <c r="K28" i="1" s="1"/>
  <c r="P9" i="6"/>
  <c r="P19" i="2" l="1"/>
  <c r="T19" i="2"/>
  <c r="U19" i="2" s="1"/>
  <c r="P22" i="2"/>
  <c r="T27" i="2"/>
  <c r="U27" i="2" s="1"/>
  <c r="T20" i="2"/>
  <c r="U20" i="2" s="1"/>
  <c r="P20" i="2"/>
  <c r="P17" i="2"/>
  <c r="T17" i="2"/>
  <c r="U17" i="2" s="1"/>
  <c r="T21" i="2"/>
  <c r="U21" i="2" s="1"/>
  <c r="P21" i="2"/>
  <c r="O16" i="2"/>
  <c r="N34" i="2"/>
  <c r="O34" i="2" s="1"/>
  <c r="R34" i="2"/>
  <c r="J15" i="2"/>
  <c r="O15" i="2" s="1"/>
  <c r="R15" i="2"/>
  <c r="P10" i="6"/>
  <c r="P11" i="6"/>
  <c r="I33" i="2"/>
  <c r="J33" i="2" s="1"/>
  <c r="S33" i="2"/>
  <c r="I27" i="1"/>
  <c r="J27" i="1" s="1"/>
  <c r="S14" i="2"/>
  <c r="I14" i="2"/>
  <c r="R14" i="2" s="1"/>
  <c r="I26" i="1"/>
  <c r="K26" i="1" s="1"/>
  <c r="J14" i="2" l="1"/>
  <c r="N14" i="2"/>
  <c r="T16" i="2"/>
  <c r="U16" i="2" s="1"/>
  <c r="P16" i="2"/>
  <c r="Q12" i="6"/>
  <c r="Q13" i="6"/>
  <c r="P34" i="2"/>
  <c r="T34" i="2"/>
  <c r="U34" i="2" s="1"/>
  <c r="P15" i="2"/>
  <c r="T15" i="2"/>
  <c r="U15" i="2" s="1"/>
  <c r="N33" i="2"/>
  <c r="O33" i="2" s="1"/>
  <c r="P33" i="2" s="1"/>
  <c r="R33" i="2"/>
  <c r="O9" i="6"/>
  <c r="O10" i="6"/>
  <c r="P12" i="6" s="1"/>
  <c r="O11" i="6"/>
  <c r="P13" i="6" s="1"/>
  <c r="O14" i="2" l="1"/>
  <c r="T14" i="2" s="1"/>
  <c r="U14" i="2" s="1"/>
  <c r="T33" i="2"/>
  <c r="U33" i="2" s="1"/>
  <c r="I30" i="2"/>
  <c r="I31" i="2"/>
  <c r="I32" i="2"/>
  <c r="J32" i="2" s="1"/>
  <c r="N9" i="6"/>
  <c r="N10" i="6"/>
  <c r="O12" i="6" s="1"/>
  <c r="N11" i="6"/>
  <c r="O13" i="6" s="1"/>
  <c r="H18" i="5"/>
  <c r="K18" i="5" s="1"/>
  <c r="S32" i="2"/>
  <c r="I25" i="1"/>
  <c r="J25" i="1" s="1"/>
  <c r="P14" i="2" l="1"/>
  <c r="R32" i="2"/>
  <c r="N32" i="2"/>
  <c r="O32" i="2" s="1"/>
  <c r="M9" i="6"/>
  <c r="M10" i="6"/>
  <c r="M11" i="6"/>
  <c r="S13" i="2"/>
  <c r="I13" i="2"/>
  <c r="N13" i="2" s="1"/>
  <c r="I24" i="1"/>
  <c r="K24" i="1" s="1"/>
  <c r="N12" i="6" l="1"/>
  <c r="N13" i="6"/>
  <c r="P32" i="2"/>
  <c r="T32" i="2"/>
  <c r="U32" i="2" s="1"/>
  <c r="R13" i="2"/>
  <c r="J13" i="2"/>
  <c r="O13" i="2" s="1"/>
  <c r="L9" i="6"/>
  <c r="L10" i="6"/>
  <c r="L11" i="6"/>
  <c r="M12" i="6" l="1"/>
  <c r="M13" i="6"/>
  <c r="T13" i="2"/>
  <c r="U13" i="2" s="1"/>
  <c r="P13" i="2"/>
  <c r="K9" i="6"/>
  <c r="K10" i="6"/>
  <c r="L12" i="6" s="1"/>
  <c r="K11" i="6"/>
  <c r="L13" i="6" s="1"/>
  <c r="J30" i="2"/>
  <c r="S30" i="2"/>
  <c r="J31" i="2"/>
  <c r="S31" i="2"/>
  <c r="I23" i="1"/>
  <c r="J23" i="1" s="1"/>
  <c r="I22" i="1"/>
  <c r="J22" i="1" s="1"/>
  <c r="S12" i="2"/>
  <c r="I12" i="2"/>
  <c r="N12" i="2" s="1"/>
  <c r="I21" i="1"/>
  <c r="K21" i="1" s="1"/>
  <c r="S11" i="2"/>
  <c r="I11" i="2"/>
  <c r="N11" i="2" s="1"/>
  <c r="I20" i="1"/>
  <c r="K20" i="1" s="1"/>
  <c r="N31" i="2" l="1"/>
  <c r="O31" i="2" s="1"/>
  <c r="R31" i="2"/>
  <c r="N30" i="2"/>
  <c r="O30" i="2" s="1"/>
  <c r="R30" i="2"/>
  <c r="J12" i="2"/>
  <c r="O12" i="2" s="1"/>
  <c r="R12" i="2"/>
  <c r="J11" i="2"/>
  <c r="O11" i="2" s="1"/>
  <c r="R11" i="2"/>
  <c r="J9" i="6"/>
  <c r="J10" i="6"/>
  <c r="J11" i="6"/>
  <c r="D7" i="5"/>
  <c r="H21" i="5"/>
  <c r="K21" i="5" s="1"/>
  <c r="I20" i="5"/>
  <c r="S10" i="2"/>
  <c r="I10" i="2"/>
  <c r="N10" i="2" s="1"/>
  <c r="I19" i="1"/>
  <c r="J19" i="1" s="1"/>
  <c r="I18" i="1"/>
  <c r="K18" i="1" s="1"/>
  <c r="K13" i="6" l="1"/>
  <c r="K12" i="6"/>
  <c r="T30" i="2"/>
  <c r="U30" i="2" s="1"/>
  <c r="P30" i="2"/>
  <c r="P31" i="2"/>
  <c r="T31" i="2"/>
  <c r="U31" i="2" s="1"/>
  <c r="P12" i="2"/>
  <c r="T12" i="2"/>
  <c r="U12" i="2" s="1"/>
  <c r="P11" i="2"/>
  <c r="T11" i="2"/>
  <c r="U11" i="2" s="1"/>
  <c r="K20" i="5"/>
  <c r="J10" i="2"/>
  <c r="O10" i="2" s="1"/>
  <c r="R10" i="2"/>
  <c r="I9" i="6"/>
  <c r="I10" i="6"/>
  <c r="I11" i="6"/>
  <c r="J12" i="6" l="1"/>
  <c r="J13" i="6"/>
  <c r="P10" i="2"/>
  <c r="T10" i="2"/>
  <c r="U10" i="2" s="1"/>
  <c r="H9" i="6"/>
  <c r="H10" i="6"/>
  <c r="H11" i="6"/>
  <c r="I13" i="6" s="1"/>
  <c r="I12" i="6" l="1"/>
  <c r="G9" i="6"/>
  <c r="G10" i="6"/>
  <c r="H12" i="6" s="1"/>
  <c r="G11" i="6"/>
  <c r="H13" i="6" l="1"/>
  <c r="D9" i="6"/>
  <c r="E9" i="6"/>
  <c r="F9" i="6"/>
  <c r="D10" i="6"/>
  <c r="E10" i="6"/>
  <c r="E12" i="6" s="1"/>
  <c r="F10" i="6"/>
  <c r="G12" i="6" s="1"/>
  <c r="D11" i="6"/>
  <c r="E11" i="6"/>
  <c r="F11" i="6"/>
  <c r="F13" i="6" s="1"/>
  <c r="H11" i="5"/>
  <c r="K11" i="5" s="1"/>
  <c r="I17" i="1"/>
  <c r="J17" i="1" s="1"/>
  <c r="S9" i="2"/>
  <c r="I9" i="2"/>
  <c r="R9" i="2" s="1"/>
  <c r="I16" i="1"/>
  <c r="K16" i="1" s="1"/>
  <c r="E13" i="6" l="1"/>
  <c r="F12" i="6"/>
  <c r="G13" i="6"/>
  <c r="N9" i="2"/>
  <c r="J9" i="2"/>
  <c r="I15" i="1"/>
  <c r="J15" i="1" s="1"/>
  <c r="S8" i="2"/>
  <c r="I8" i="2"/>
  <c r="N8" i="2" s="1"/>
  <c r="I14" i="1"/>
  <c r="K14" i="1" s="1"/>
  <c r="O9" i="2" l="1"/>
  <c r="P9" i="2" s="1"/>
  <c r="J8" i="2"/>
  <c r="O8" i="2" s="1"/>
  <c r="R8" i="2"/>
  <c r="T9" i="2" l="1"/>
  <c r="U9" i="2" s="1"/>
  <c r="P8" i="2"/>
  <c r="T8" i="2"/>
  <c r="U8" i="2" s="1"/>
  <c r="Y45" i="6"/>
  <c r="Y46" i="6"/>
  <c r="Y47" i="6"/>
  <c r="X45" i="6" l="1"/>
  <c r="X46" i="6"/>
  <c r="X47" i="6"/>
  <c r="W45" i="6" l="1"/>
  <c r="W46" i="6"/>
  <c r="W47" i="6"/>
  <c r="J39" i="2"/>
  <c r="V45" i="6" l="1"/>
  <c r="V46" i="6"/>
  <c r="V47" i="6"/>
  <c r="I26" i="2"/>
  <c r="J26" i="2" s="1"/>
  <c r="S26" i="2"/>
  <c r="R26" i="2" l="1"/>
  <c r="N26" i="2"/>
  <c r="O26" i="2" s="1"/>
  <c r="P26" i="2" s="1"/>
  <c r="U45" i="6"/>
  <c r="U46" i="6"/>
  <c r="U47" i="6"/>
  <c r="T26" i="2" l="1"/>
  <c r="U26" i="2" s="1"/>
  <c r="T45" i="6"/>
  <c r="T46" i="6"/>
  <c r="T47" i="6"/>
  <c r="S45" i="6" l="1"/>
  <c r="S46" i="6"/>
  <c r="S47" i="6"/>
  <c r="R46" i="6" l="1"/>
  <c r="R47" i="6"/>
  <c r="R45" i="6"/>
  <c r="Q45" i="6"/>
  <c r="Q46" i="6"/>
  <c r="Q47" i="6"/>
  <c r="P46" i="6" l="1"/>
  <c r="P47" i="6"/>
  <c r="P45" i="6"/>
  <c r="I37" i="2"/>
  <c r="N37" i="2" s="1"/>
  <c r="S37" i="2"/>
  <c r="I46" i="3"/>
  <c r="K46" i="3" s="1"/>
  <c r="M46" i="3" s="1"/>
  <c r="H46" i="3"/>
  <c r="I45" i="3"/>
  <c r="K45" i="3" s="1"/>
  <c r="M45" i="3" s="1"/>
  <c r="H45" i="3"/>
  <c r="I44" i="3"/>
  <c r="K44" i="3" s="1"/>
  <c r="M44" i="3" s="1"/>
  <c r="H44" i="3"/>
  <c r="I43" i="3"/>
  <c r="K43" i="3" s="1"/>
  <c r="M43" i="3" s="1"/>
  <c r="H43" i="3"/>
  <c r="I42" i="3"/>
  <c r="K42" i="3" s="1"/>
  <c r="M42" i="3" s="1"/>
  <c r="H42" i="3"/>
  <c r="I41" i="3"/>
  <c r="K41" i="3" s="1"/>
  <c r="M41" i="3" s="1"/>
  <c r="H41" i="3"/>
  <c r="I40" i="3"/>
  <c r="K40" i="3" s="1"/>
  <c r="M40" i="3" s="1"/>
  <c r="H40" i="3"/>
  <c r="I39" i="3"/>
  <c r="K39" i="3" s="1"/>
  <c r="M39" i="3" s="1"/>
  <c r="H39" i="3"/>
  <c r="I38" i="3"/>
  <c r="K38" i="3" s="1"/>
  <c r="M38" i="3" s="1"/>
  <c r="H38" i="3"/>
  <c r="I37" i="3"/>
  <c r="K37" i="3" s="1"/>
  <c r="M37" i="3" s="1"/>
  <c r="H37" i="3"/>
  <c r="I36" i="3"/>
  <c r="K36" i="3" s="1"/>
  <c r="M36" i="3" s="1"/>
  <c r="H36" i="3"/>
  <c r="I35" i="3"/>
  <c r="K35" i="3" s="1"/>
  <c r="M35" i="3" s="1"/>
  <c r="H35" i="3"/>
  <c r="I34" i="3"/>
  <c r="K34" i="3" s="1"/>
  <c r="M34" i="3" s="1"/>
  <c r="H34" i="3"/>
  <c r="I33" i="3"/>
  <c r="K33" i="3" s="1"/>
  <c r="H33" i="3"/>
  <c r="R37" i="2" l="1"/>
  <c r="J37" i="2"/>
  <c r="O37" i="2" s="1"/>
  <c r="K48" i="3"/>
  <c r="M33" i="3"/>
  <c r="M48" i="3" s="1"/>
  <c r="O45" i="6"/>
  <c r="O46" i="6"/>
  <c r="O47" i="6"/>
  <c r="T37" i="2" l="1"/>
  <c r="U37" i="2" s="1"/>
  <c r="P37" i="2"/>
  <c r="N46" i="6"/>
  <c r="N47" i="6"/>
  <c r="N45" i="6"/>
  <c r="M45" i="6" l="1"/>
  <c r="M46" i="6"/>
  <c r="M47" i="6"/>
  <c r="I13" i="5"/>
  <c r="H14" i="5"/>
  <c r="K14" i="5" s="1"/>
  <c r="L46" i="6" l="1"/>
  <c r="L47" i="6"/>
  <c r="L45" i="6"/>
  <c r="K46" i="6" l="1"/>
  <c r="K47" i="6"/>
  <c r="K45" i="6"/>
  <c r="I24" i="5"/>
  <c r="H47" i="6" l="1"/>
  <c r="G47" i="6"/>
  <c r="F47" i="6"/>
  <c r="H46" i="6"/>
  <c r="G46" i="6"/>
  <c r="F46" i="6"/>
  <c r="H45" i="6"/>
  <c r="G45" i="6"/>
  <c r="F45" i="6"/>
  <c r="J46" i="6" l="1"/>
  <c r="J47" i="6"/>
  <c r="J45" i="6"/>
  <c r="I46" i="6" l="1"/>
  <c r="I47" i="6"/>
  <c r="I45" i="6"/>
  <c r="D3" i="1" l="1"/>
  <c r="E45" i="6" l="1"/>
  <c r="D45" i="6"/>
  <c r="E47" i="6"/>
  <c r="D47" i="6"/>
  <c r="E46" i="6"/>
  <c r="D46" i="6"/>
  <c r="J3" i="2"/>
  <c r="I17" i="5"/>
  <c r="I9" i="5"/>
  <c r="K13" i="5"/>
  <c r="H10" i="5"/>
  <c r="K10" i="5" s="1"/>
  <c r="I7" i="5" l="1"/>
  <c r="K24" i="5"/>
  <c r="K17" i="5"/>
  <c r="K9" i="5"/>
  <c r="H20" i="3"/>
  <c r="I20" i="3"/>
  <c r="K20" i="3" s="1"/>
  <c r="M20" i="3" s="1"/>
  <c r="H19" i="3"/>
  <c r="I19" i="3"/>
  <c r="K19" i="3" s="1"/>
  <c r="M19" i="3" s="1"/>
  <c r="H18" i="3"/>
  <c r="I18" i="3"/>
  <c r="K18" i="3" s="1"/>
  <c r="M18" i="3" s="1"/>
  <c r="H17" i="3"/>
  <c r="I17" i="3"/>
  <c r="K17" i="3" s="1"/>
  <c r="M17" i="3" s="1"/>
  <c r="H16" i="3"/>
  <c r="I16" i="3"/>
  <c r="K16" i="3" s="1"/>
  <c r="M16" i="3" s="1"/>
  <c r="H15" i="3"/>
  <c r="I15" i="3"/>
  <c r="K15" i="3" s="1"/>
  <c r="M15" i="3" s="1"/>
  <c r="H14" i="3"/>
  <c r="I14" i="3"/>
  <c r="K14" i="3" s="1"/>
  <c r="M14" i="3" s="1"/>
  <c r="H8" i="3"/>
  <c r="I8" i="3"/>
  <c r="K8" i="3" s="1"/>
  <c r="M8" i="3" s="1"/>
  <c r="H9" i="3"/>
  <c r="I9" i="3"/>
  <c r="K9" i="3" s="1"/>
  <c r="M9" i="3" s="1"/>
  <c r="H10" i="3"/>
  <c r="I10" i="3"/>
  <c r="K10" i="3" s="1"/>
  <c r="M10" i="3" s="1"/>
  <c r="H11" i="3"/>
  <c r="I11" i="3"/>
  <c r="K11" i="3" s="1"/>
  <c r="M11" i="3" s="1"/>
  <c r="H12" i="3"/>
  <c r="I12" i="3"/>
  <c r="K12" i="3" s="1"/>
  <c r="M12" i="3" s="1"/>
  <c r="H13" i="3"/>
  <c r="I13" i="3"/>
  <c r="K13" i="3" s="1"/>
  <c r="M13" i="3" s="1"/>
  <c r="I7" i="3"/>
  <c r="K7" i="3" s="1"/>
  <c r="H7" i="3"/>
  <c r="K7" i="5" l="1"/>
  <c r="K22" i="3"/>
  <c r="K33" i="5" s="1"/>
  <c r="M7" i="3"/>
  <c r="M22" i="3" s="1"/>
  <c r="I33" i="5" s="1"/>
  <c r="I38" i="5" s="1"/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7" i="1"/>
  <c r="J7" i="1" s="1"/>
  <c r="K6" i="1" l="1"/>
  <c r="R39" i="2"/>
  <c r="S39" i="2" s="1"/>
  <c r="N39" i="2"/>
  <c r="K45" i="1"/>
  <c r="J45" i="1"/>
  <c r="O39" i="2" l="1"/>
  <c r="P39" i="2" s="1"/>
  <c r="K47" i="1"/>
  <c r="K30" i="5" s="1"/>
  <c r="K38" i="5" s="1"/>
  <c r="T39" i="2" l="1"/>
  <c r="U39" i="2" s="1"/>
  <c r="L36" i="5"/>
  <c r="L15" i="5" l="1"/>
  <c r="L35" i="5"/>
  <c r="L7" i="5"/>
  <c r="L18" i="5"/>
  <c r="L11" i="5"/>
  <c r="L21" i="5"/>
  <c r="L20" i="5"/>
  <c r="L14" i="5"/>
  <c r="L33" i="5"/>
  <c r="L30" i="5"/>
  <c r="L10" i="5"/>
  <c r="L38" i="5"/>
  <c r="L9" i="5"/>
  <c r="L13" i="5"/>
  <c r="L24" i="5"/>
  <c r="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</author>
  </authors>
  <commentList>
    <comment ref="Q27" authorId="0" shapeId="0" xr:uid="{C1FF8C2F-591B-44B0-88A5-B2FC6476B222}">
      <text>
        <r>
          <rPr>
            <b/>
            <sz val="9"/>
            <color indexed="81"/>
            <rFont val="Tahoma"/>
            <family val="2"/>
            <charset val="204"/>
          </rPr>
          <t>SONY:</t>
        </r>
        <r>
          <rPr>
            <sz val="9"/>
            <color indexed="81"/>
            <rFont val="Tahoma"/>
            <family val="2"/>
            <charset val="204"/>
          </rPr>
          <t xml:space="preserve">
НДФЛ не вычитаем, т.к. снимают всю сумму
при короткой позиции.
</t>
        </r>
      </text>
    </comment>
  </commentList>
</comments>
</file>

<file path=xl/sharedStrings.xml><?xml version="1.0" encoding="utf-8"?>
<sst xmlns="http://schemas.openxmlformats.org/spreadsheetml/2006/main" count="314" uniqueCount="196">
  <si>
    <t>Номер п/п</t>
  </si>
  <si>
    <t>Дата</t>
  </si>
  <si>
    <t>Актив</t>
  </si>
  <si>
    <t>Сделка</t>
  </si>
  <si>
    <t>Цена</t>
  </si>
  <si>
    <t>Кол-во лотов</t>
  </si>
  <si>
    <t>Размер лота</t>
  </si>
  <si>
    <t>Примечание</t>
  </si>
  <si>
    <t>Деньги</t>
  </si>
  <si>
    <t>Купля</t>
  </si>
  <si>
    <t>ФСК ЕЭС</t>
  </si>
  <si>
    <t>Мечел (Обыч)</t>
  </si>
  <si>
    <t>Мечел (Преф)</t>
  </si>
  <si>
    <t>МРСК Центра</t>
  </si>
  <si>
    <t>ТГК-1</t>
  </si>
  <si>
    <t>Кол-во штук</t>
  </si>
  <si>
    <t>Расход  ДС</t>
  </si>
  <si>
    <t>Приход ДС</t>
  </si>
  <si>
    <t>Ввод  ДС</t>
  </si>
  <si>
    <t>Сальдо(КЕШ)</t>
  </si>
  <si>
    <t>Положительное значение  - это КЕШ, отрицательное значение - это "залезли" в долг (плечи).</t>
  </si>
  <si>
    <t>Суммы по столбцам Приход ДС и Расход ДС</t>
  </si>
  <si>
    <t>Движение денежных средств (ДДС) по счету</t>
  </si>
  <si>
    <t>на дату</t>
  </si>
  <si>
    <t>Стоимость</t>
  </si>
  <si>
    <t>Открытие позиции</t>
  </si>
  <si>
    <t>Закрытие позиции/текущая стоимость</t>
  </si>
  <si>
    <t>Результат курсовой стоимости</t>
  </si>
  <si>
    <t>Итоговый результат</t>
  </si>
  <si>
    <t>Доход  итого, руб</t>
  </si>
  <si>
    <t>Доходность итого, %</t>
  </si>
  <si>
    <t>Дивиденд  за выч.НДФЛ</t>
  </si>
  <si>
    <t>Сумма дивидендов</t>
  </si>
  <si>
    <t>Доход, руб</t>
  </si>
  <si>
    <t>Доходность, %</t>
  </si>
  <si>
    <t>Открыта</t>
  </si>
  <si>
    <t>Условный пакет</t>
  </si>
  <si>
    <t>Дивидендный доход</t>
  </si>
  <si>
    <t>номер п/п</t>
  </si>
  <si>
    <t>Акция</t>
  </si>
  <si>
    <t>Размер дивиденда</t>
  </si>
  <si>
    <t>Исходные данные</t>
  </si>
  <si>
    <t>Расчет по счету</t>
  </si>
  <si>
    <t>Дата закрытия реестра</t>
  </si>
  <si>
    <t>Число акций, шт</t>
  </si>
  <si>
    <t>Сумма Д, руб</t>
  </si>
  <si>
    <t>Условная доля к первоначальному днпозиту модельного портфеля ( 3 000 000),%</t>
  </si>
  <si>
    <t>Отчетный период</t>
  </si>
  <si>
    <t>Размер Д после уплаты НДФЛ*</t>
  </si>
  <si>
    <t>Дата фактического получения **</t>
  </si>
  <si>
    <t>** Дату фактического получения для упрощения условно примем как дату закрытия реестра+12 рабочих дней</t>
  </si>
  <si>
    <t>* Упрощенно примем коэффициент 0,87 и не будем учитыватьвозможные вычеты. Либо вносим фактическое значение, если знаем его точно</t>
  </si>
  <si>
    <t>Цена акции к реестру Т+2</t>
  </si>
  <si>
    <t>ДД (справочно),%</t>
  </si>
  <si>
    <t>Итог сезона</t>
  </si>
  <si>
    <t>Дивиденды</t>
  </si>
  <si>
    <t>Закрытые</t>
  </si>
  <si>
    <t>Открытые</t>
  </si>
  <si>
    <t>Див. Дох. к цене покупки,%</t>
  </si>
  <si>
    <t>История сделок и открытые позиции</t>
  </si>
  <si>
    <t>Модельный портфель</t>
  </si>
  <si>
    <t>Финансы</t>
  </si>
  <si>
    <t>Металлургия и Майнинг</t>
  </si>
  <si>
    <t>Сектор</t>
  </si>
  <si>
    <t>Электроэнергетика</t>
  </si>
  <si>
    <t>Класс активов</t>
  </si>
  <si>
    <t>Акции</t>
  </si>
  <si>
    <t>Цена на дату</t>
  </si>
  <si>
    <t>Стоимость на дату</t>
  </si>
  <si>
    <t>ИТОГО</t>
  </si>
  <si>
    <t>Фактическая доля к  текущей стоимости всего портфеля**</t>
  </si>
  <si>
    <t>Условный пакет по Алексу*</t>
  </si>
  <si>
    <t>*Условный пакет по Алексу - условная доля на инвестицию в тот или иной актив, принятая на старте проекта относительно первоначального депозита. Используется для удобства и простоты доведения информации по операциям.</t>
  </si>
  <si>
    <t>**Фактическая доля - отношение стоимости актива на текущую дату к общей стоимости портфеля на текущую дату ( с учетом кеша, в т.ч. От поступивших дивов)</t>
  </si>
  <si>
    <t xml:space="preserve">Стоимость портфеля </t>
  </si>
  <si>
    <t>Значение индекса ММВБ</t>
  </si>
  <si>
    <t>Прирост стоимости портфеля с начала проекта (10.03.17), %</t>
  </si>
  <si>
    <t>Прирост индекса ММВБ с начала проекта (10.03.17), %</t>
  </si>
  <si>
    <t>manval.ru</t>
  </si>
  <si>
    <t>MICEX</t>
  </si>
  <si>
    <t>Аналитика*</t>
  </si>
  <si>
    <t>* Индекс ММВБ не включает дивиденды, а портфель Манвал с учетом фактически полученных дивидендов</t>
  </si>
  <si>
    <t>Описание</t>
  </si>
  <si>
    <t>1. Проект "Модельный портфель Манвал"</t>
  </si>
  <si>
    <t>2. Старт проекта приняли 10 марта 2017 года</t>
  </si>
  <si>
    <t>3. Условный начальный депозит 3 000 000 руб ( для минимизации влияния лотности акций)</t>
  </si>
  <si>
    <t>4. Акции, которые были в портфеле Манвал до начала данного проекта зачислены в Модельный портфель как покупка по цене закрытия 10 марта 2017 г</t>
  </si>
  <si>
    <t>5. Далее операции по объему и цене полностью соответствуют рекомендациям Алексея.</t>
  </si>
  <si>
    <t>6. Условные доли активов по Алексею указаны во всех операциях и статистике, но они отличаются от реальных долей, т.к. меняется курсовая стоимость.</t>
  </si>
  <si>
    <t>Но для общего понимания это очень наглядно и просто. Реальные доли приводятся в разделе "Модельный портфель"</t>
  </si>
  <si>
    <t>7. Разделы (закладки/листы Эксель): "Модельный портфель", "ДДС", "Дивиденды", "История сделок и открытые позиции", "Аналитика", "Запасники".</t>
  </si>
  <si>
    <t>8. "Модельный портфель":</t>
  </si>
  <si>
    <t>а) отражает состав и структуру всех активов (акции и наличные) на текущую дату</t>
  </si>
  <si>
    <t>б) итоги планируется подводить еженедельно ( постараемся :) ) и по итогам каждого месяца</t>
  </si>
  <si>
    <t>в) текущая дата указана сверху, котировки соответствуют данной дате на момент закрытия (лучше иногда контролировать меня)</t>
  </si>
  <si>
    <t>9. "ДДС"</t>
  </si>
  <si>
    <t>а) ДДС-движение денежных средств</t>
  </si>
  <si>
    <t>б) отражает все движения денег: 1) ввод средств, продажа акций, поступление дивидендо - это приход средств</t>
  </si>
  <si>
    <t>2) покупка акций - это расход средств</t>
  </si>
  <si>
    <t>3) сальдо показывает сколько денег (КЕШа) имеется на остатке после всех операций прихода и расхода средств</t>
  </si>
  <si>
    <t>в) очень важный момент - не учитываем комиссии брокера и биржи, но это не столь существенно влияет на результат,для упрощения пренебрегаем.</t>
  </si>
  <si>
    <t>10. "Дивиденды"</t>
  </si>
  <si>
    <t>а) дивиденды расчитаны на те пакеты и в том объеме, которыми Манвал владелна момент отсечки с учетом Т+2</t>
  </si>
  <si>
    <t>б) поскольку вести статистику начали задним числом, а сезон дивидендов фактически завершился, то подвел данные лбщим итогом и занес в ДДС как приход данную сумму</t>
  </si>
  <si>
    <t>в) дивиденды очищены от НДФЛ полностью, хотя, возможно, где-то есть вычеты. Упростил себе работу (пусть компенсирует комисии брокерские :) )</t>
  </si>
  <si>
    <t xml:space="preserve">г) дивиденды по всему сезону составили  135 893 р или 4,53% к сумме первоначального депозита 3 000 000р. </t>
  </si>
  <si>
    <t>д) эта условная доля 4,53%  подлежит реинвестированию, поэтому Алексею ее надо будет указывать дополнительно сверх 100% с отдельной пометкой (например, "реинветирование дивидендов")</t>
  </si>
  <si>
    <t>в) по мере новых поступлений эта условная доля будет увеличиваться и подлежать реинвестированию.</t>
  </si>
  <si>
    <t>г) я подвел итог по дивам прошедшего сезона и внес все как полученное, но реально еще ждем Газпром, россети, фск буквально вчера-сегодня-завтра и Мечел до середины августа.</t>
  </si>
  <si>
    <t>Поэтому если Алексей решит реинвестировать сейчас, то можно принять, что получено все, кроме Мечела (0,8%), т.е. можно инвестировать 4,53%-0,8%=3,73%.  3 августа писал на форуме (мой ник tds, зовут Дмитрий)</t>
  </si>
  <si>
    <t>11. "История сделок и открытые позиции"</t>
  </si>
  <si>
    <t>а) предназначена для анализа по каждой операции купли-продажи</t>
  </si>
  <si>
    <t>в) в верхней части выделены уже закрытые позиции с указанием конкретных цен покупки-продажи</t>
  </si>
  <si>
    <t>г) в нижней части отражены данные по открытым позициям, причем пакеты, приобретаемые в разное время выделены отдельно. Результаты по ним приводятся информационно по цене на текущую дату ("на дату"), указанную вверху таблицы</t>
  </si>
  <si>
    <t>д)статистика соержит результаты по курсовой переоценки акций (при продаже или на  текущую дату для открытой позиции), а также по полученным дивидендам.</t>
  </si>
  <si>
    <t>е) результаты по дивидендам отражены только на те пакеты, на которые положено их получение, поэтому увидите, что не на все пакеты зачислен дивидендный доход.</t>
  </si>
  <si>
    <t>ж) дивидендная доходность указана конкретно для каждого пакета к конкретной цене приобретения этого пакета.</t>
  </si>
  <si>
    <t>з) совокупный результат по каждому пакету просуммирован как результат по курсовой стоимости и по дивидендной доходности.</t>
  </si>
  <si>
    <t>и) внизу таблицы указан общий результат по курсовой, дивидендной, а также общей доходности</t>
  </si>
  <si>
    <t>ТАБЛИЦА ОЧЕНЬ НАГЛЯДНО ПОКАЗЫВАЕТ РЕЗУЛЬТАТИВНОТЬ КАЖДОГО ТРЕЙДА!</t>
  </si>
  <si>
    <t>12. "Аналитика"</t>
  </si>
  <si>
    <t>Простенькая аналитика сравнения результатов инвестирования Модельного портфеля Манвал с бенчмарком - индексом ММВБ</t>
  </si>
  <si>
    <t>13. "Запасники"</t>
  </si>
  <si>
    <t>Не доработанный раздел. Предлагаю вместе подумать и фиксировать интересующие нас для отслеживания акции и цели по ним, а то все забывают.</t>
  </si>
  <si>
    <t>Также надо елать какие-то комментарии. Предлагайте, чтобы и наглядно и не сложно.</t>
  </si>
  <si>
    <t>14. По размещению предлагаю:</t>
  </si>
  <si>
    <t>а) первым закрепленным постом текущий состав портфеля от Алексея в его условных долях.</t>
  </si>
  <si>
    <t>б) вторым закрепленным постом выкладка данного обновляемого файла.</t>
  </si>
  <si>
    <t>15. Буду стараться делать апгрейт еженедельно.</t>
  </si>
  <si>
    <t>Всем спасибо за внимание.</t>
  </si>
  <si>
    <t>Дмитрий</t>
  </si>
  <si>
    <t>Ник: tds</t>
  </si>
  <si>
    <t>Деньги (КЕШ дивиденды)***</t>
  </si>
  <si>
    <t>Деньги (КЕШ )***</t>
  </si>
  <si>
    <t>*** "Кеш" - денежные средства, не задействованные в данный момент в покупке акций ( за исключением денег от поступивших дивидендов)</t>
  </si>
  <si>
    <t>Аэрофлот</t>
  </si>
  <si>
    <t>Транспорт</t>
  </si>
  <si>
    <t>Русал</t>
  </si>
  <si>
    <t>Цена покупки</t>
  </si>
  <si>
    <t>1. Сезон 1 "за 2017 год"</t>
  </si>
  <si>
    <t>2. Сезон 2 "Промежуточные в 2018 году"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</si>
  <si>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МРСК Центра  принимается равной 16%.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</si>
  <si>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ФСК принимается равной 8%.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</si>
  <si>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ТГК-1  принимается равной 7%.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</si>
  <si>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Аэрофлот принимается равной 24%.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</si>
  <si>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(Преф)  принимается равной 11%.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</si>
  <si>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(Обыч)  принимается равной 9%.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</si>
  <si>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Русал принимается равной 25%.</t>
  </si>
  <si>
    <t>**** "Кеш дивиденды" с условной долей ...% - это поступившие дивиденды. Сама сумма в рублях чуть отличается из-за остатков по операциям с учетом лотности (берется из  таблицы ДДС)</t>
  </si>
  <si>
    <t>1. 2018 г  (текущий период)</t>
  </si>
  <si>
    <t>1. 2017 г  (прошедший год)</t>
  </si>
  <si>
    <t>МосОблБанк</t>
  </si>
  <si>
    <t>Продажа</t>
  </si>
  <si>
    <t>Продажа всего условного пакета в 8% , купленного (перенос позиций с 2017г) по цене закрытия 29.12.2017 .   Курсовая прибыль 0,77% +дивиденды 0%.  Итого прибыль 0,77%.</t>
  </si>
  <si>
    <t>Покупаем на все 100% выручки от продажи пакета ФСК ЕЭС  в условном размере 8% от первоначального депозита, проданного 04.01.18 на сумму 262 913р. Покупаем МосОблБанк на примерно 262 913 *100%= 262 913р с учетом лотности и это равно условному пакету в 8% по данной операции. Итоговый условный пакет МосОблБанк с учетом данной покупки будет 8%.</t>
  </si>
  <si>
    <t>Начальный депозит "Модельного портфеля", равный стоимости  всех акций, находящихся в портфеле Манвал на 31.12.2017 по цене на 31.12.2017. Начальный депозит равен 3 251 220руб 50 коп</t>
  </si>
  <si>
    <t>Прирост стоимости портфеля с 01.01.18, %</t>
  </si>
  <si>
    <t>Продажа части  в 15% акций Русала  из условного пакета в 25% , купленного (перенос позиций с 2017г) по цене закрытия 29.12.2017 .   Курсовая прибыль 1,9% +дивиденды 0%.  Итого прибыль 1,9%. Остаток акций Русал в модельном портфеле после продажи доли в 15% составил 10% условной доли.</t>
  </si>
  <si>
    <t>Покупаем на все 100% выручки от продажи части  условного пакета в  15% акций  Русал от общей условной доли пакета Русал  в условном размере 25% от первоначального депозита, проданного 17.01.18 на сумму 493 774 р. Покупаем МРСК Волги на примерно 493 774 *100%= 493 774р с учетом лотности и это равно условному пакету в 15% по данной операции. Итоговый условный пакет МРСК Волги с учетом данной покупки будет 15%.</t>
  </si>
  <si>
    <t>МРСК Волги</t>
  </si>
  <si>
    <t>Магнит</t>
  </si>
  <si>
    <t>Покупаем на все 100% выручки от продажи акций  Русал в условном пакете 10%, проданного 16.02.18 на сумму 327 394,80 р. Покупаем Магнит на примерно 327 394,8 *100%= 324 394,8р с учетом лотности и это равно условному пакету в 10% по данной операции. Итоговый условный пакет Магнит с учетом данной покупки будет 10%.</t>
  </si>
  <si>
    <t>Ритейл</t>
  </si>
  <si>
    <t>Продажа всего пакета Мечел (Преф) в условной доле 11% , купленного (перенос позиций с 2017г) по цене закрытия 29.12.2017  по 132,05 руб.   Курсовая прибыль 8,94% +дивиденды 0%.  Итого прибыль 8,94%.</t>
  </si>
  <si>
    <t>Продажа всего пакета Мечел (Обыч) в условной доле 9% , купленного (перенос позиций с 2017г) по цене закрытия 29.12.2017  по 147,75 руб.   Курсовой убыток -2,94% +дивиденды 0%.  Итого убыток  -2,94%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</si>
  <si>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20%.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</si>
  <si>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30%.</t>
  </si>
  <si>
    <t>изменение за неделю Манвал</t>
  </si>
  <si>
    <t>Продажа всего пакета Русал в условной доле 10% , купленного (перенос позиций с 2017г) по цене закрытия 29.12.2017  по 138,45 руб.   Курсовая прибыль 1,43% +дивиденды 0%.  Итого прибыль 1,43%.</t>
  </si>
  <si>
    <t>Продажа всего пакета Аэрофлот в условной доле 24% , купленного (перенос позиций с 2017г) по цене закрытия 29.12.2017  по 147,75 руб.   Курсовая прибыль +14,01% +дивиденды 0%.  Итого прибыль +14,01%</t>
  </si>
  <si>
    <t>Покупаем на все 100% выручки от продажи акций  Аэрофлот в условном пакете 24%, проданного 12.03.18 на сумму 899 745 р. Покупаем снова Аэрофлот на примерно 899 745*100%= 899 745р с учетом лотности и это равно условному пакету в 24% по данной операции. Итоговый условный пакет Аэрофлот с учетом данной покупки будет 24%.</t>
  </si>
  <si>
    <t>Продажа всего пакета МРСК Волги в условной доле 15% , купленного 19.01.2018  по 0,1048 руб.   Курсовой прибыль  +12,82% +дивиденды 0%.  Итого прибыль  +12,82%.</t>
  </si>
  <si>
    <t>РусГидро</t>
  </si>
  <si>
    <t>Покупаем на все 100% выручки от продажи акций  МРСК Волги в условном пакете 15%, проданного 02.04.18 на сумму 556 910,40 р. Покупаем Русгидро на примерно 556 910,4*100%= 556 910,40 р с учетом лотности и остатка денежных средств и это равно условному пакету в 15% по данной операции. Итоговый условный пакет РусГидро с учетом данной покупки будет 15%.</t>
  </si>
  <si>
    <t>РуГидро</t>
  </si>
  <si>
    <t>Сбербанк (Обыч)</t>
  </si>
  <si>
    <t>Продажа всего пакета МРСК Центра в условной доле 16% , купленного(перенос ) по цене закрытия  31.12.2017  по 0,356 руб.   Курсовой убыток  -3,23% +дивиденды 0%.  Итого убыток  -3,23%.</t>
  </si>
  <si>
    <t>Покупаем на все 100% выручки от продажи акций  МРСК Центра в условном пакете 16%, проданного 09.04.18 на сумму 514 683 р. Покупаем Сбербанк (Обыч) на примерно 514 683*100%= 514 683р с учетом лотности и остатка денежных средств и это равно условному пакету в 16% по данной операции. Итоговый условный пакет Сбербанк (Обыч) с учетом данной покупки будет 16%.</t>
  </si>
  <si>
    <t>Продажа всего пакета ТГК-1 в условной доле 7% по программе распродажи всего портфеля акций 24.04.2018 по цене закрытия минутной свечи 17 часов 28 минут. Курсовой убыток  -10,68% +дивиденды 0%.  Итого убыток  -10,68%.</t>
  </si>
  <si>
    <t>Продажа всего пакета МосОблБанк в условной доле 8% по программе распродажи всего портфеля акций 24.04.2018 по цене закрытия минутной свечи 17 часов 28 минут. Курсовой убыток   -19,05% +дивиденды 0%.  Итого убыток  -19,05%.</t>
  </si>
  <si>
    <t>Продажа всего пакета Магнит в условной доле 30% по программе распродажи всего портфеля акций 24.04.2018 по цене закрытия минутной свечи 17 часов 28 минут. Курсовая прибыль  +2,81% +дивиденды 0%.  Итого прибыль  +2,81%.</t>
  </si>
  <si>
    <t>Продажа всего пакета Аэрофлот в условной доле 24% по программе распродажи всего портфеля акций 24.04.2018 по цене закрытия минутной свечи 17 часов 28 минут. Курсовой убыток      -4,30% +дивиденды 0%.  Итого убыток  -4,30%.</t>
  </si>
  <si>
    <t>Продажа всего пакета Русгидро в условной доле 15% по программе распродажи всего портфеля акций 24.04.2018 по цене закрытия минутной свечи 17 часов 28 минут. Курсовой убыток      -3,72% +дивиденды 0%.  Итого убыток  -3,72%.</t>
  </si>
  <si>
    <t>Продажа всего пакета Сбербанк (Обыч) в условной доле 16% по программе распродажи всего портфеля акций 24.04.2018 по цене закрытия минутной свечи 17 часов 28 минут. Курсовая прибыль  +4,31% +дивиденды 0%.  Итого прибыль  +4,31%.</t>
  </si>
  <si>
    <t>Шорт</t>
  </si>
  <si>
    <t>Шорт на треть (33%) всего депо после распродажи всего портфеля акций (кеш 100%) акций Сбербанк (Обыч) на примерно 3 364 057,90*33%= 1 110 139,11р с учетом лотности. Итого шорт доли акций Сбербанк (Обыч) в условной доле 33%</t>
  </si>
  <si>
    <t xml:space="preserve">ШОРТ </t>
  </si>
  <si>
    <t>Шорт еще на треть (33%) всего депо после распродажи всего портфеля акций (в кеш 100%) акций Сбербанк (Обыч) на примерно 3 364 057,90*33%= 1 110 139,11р с учетом лотности. Итого шорт акций Сбербанк (Обыч) стал в условной доле 66%</t>
  </si>
  <si>
    <t>Шорт еще на остаток КЭШа  (34%) всего депо после распродажи всего портфеля акций (в кеш 100%) акций Сбербанк (Обыч) на примерно 3 364 057,90*34%= 1 143 779,69 р с учетом лотности. Итого шорт акций Сбербанк (Обыч) стал в условной доле 100%</t>
  </si>
  <si>
    <t>Прирост индекса Мосбиржи с 01.01.18, %</t>
  </si>
  <si>
    <t>изменение за неделю индекс Мосбиржи</t>
  </si>
  <si>
    <t>Значение индекса Мосбиржи</t>
  </si>
  <si>
    <t>инд. МОСБИРЖИ</t>
  </si>
  <si>
    <t>MANVAL.RU</t>
  </si>
  <si>
    <t>Дивы</t>
  </si>
  <si>
    <t>Вычет дивидендов на пакет акций, находящихся в "шорте". Вычтено по факту зачисления дивидендов акционерам 10-13 июля.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</si>
</sst>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_р_."/>
    <numFmt numFmtId="166" formatCode="#,##0_ ;[Red]\-#,##0\ 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u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u/>
      <sz val="16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0" fontId="6" fillId="0" borderId="0" xfId="0" applyFont="1" applyAlignment="1"/>
    <xf numFmtId="164" fontId="6" fillId="0" borderId="0" xfId="0" applyNumberFormat="1" applyFont="1" applyAlignment="1"/>
    <xf numFmtId="165" fontId="6" fillId="0" borderId="0" xfId="0" applyNumberFormat="1" applyFont="1" applyAlignment="1"/>
    <xf numFmtId="0" fontId="7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164" fontId="7" fillId="3" borderId="4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165" fontId="7" fillId="3" borderId="7" xfId="0" applyNumberFormat="1" applyFont="1" applyFill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10" fontId="6" fillId="0" borderId="0" xfId="0" applyNumberFormat="1" applyFont="1" applyAlignment="1"/>
    <xf numFmtId="10" fontId="0" fillId="0" borderId="0" xfId="0" applyNumberFormat="1" applyAlignment="1">
      <alignment wrapText="1"/>
    </xf>
    <xf numFmtId="40" fontId="6" fillId="0" borderId="0" xfId="0" applyNumberFormat="1" applyFont="1" applyAlignment="1"/>
    <xf numFmtId="40" fontId="0" fillId="0" borderId="0" xfId="0" applyNumberFormat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9" fontId="6" fillId="0" borderId="0" xfId="0" applyNumberFormat="1" applyFont="1" applyAlignment="1"/>
    <xf numFmtId="9" fontId="0" fillId="0" borderId="0" xfId="0" applyNumberFormat="1" applyAlignment="1">
      <alignment wrapText="1"/>
    </xf>
    <xf numFmtId="9" fontId="0" fillId="0" borderId="0" xfId="0" applyNumberForma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>
      <alignment wrapText="1"/>
    </xf>
    <xf numFmtId="0" fontId="0" fillId="0" borderId="0" xfId="0" applyAlignment="1"/>
    <xf numFmtId="0" fontId="8" fillId="4" borderId="1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5" fillId="0" borderId="16" xfId="0" applyNumberFormat="1" applyFont="1" applyBorder="1" applyAlignment="1">
      <alignment wrapText="1"/>
    </xf>
    <xf numFmtId="3" fontId="0" fillId="0" borderId="0" xfId="0" applyNumberFormat="1" applyAlignment="1"/>
    <xf numFmtId="4" fontId="0" fillId="0" borderId="0" xfId="0" applyNumberFormat="1" applyAlignment="1">
      <alignment wrapText="1"/>
    </xf>
    <xf numFmtId="164" fontId="0" fillId="0" borderId="0" xfId="0" applyNumberFormat="1" applyAlignment="1"/>
    <xf numFmtId="164" fontId="5" fillId="0" borderId="16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10" fillId="0" borderId="0" xfId="0" applyFont="1" applyAlignment="1">
      <alignment wrapText="1"/>
    </xf>
    <xf numFmtId="3" fontId="9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/>
    <xf numFmtId="164" fontId="12" fillId="0" borderId="0" xfId="0" applyNumberFormat="1" applyFont="1" applyAlignment="1"/>
    <xf numFmtId="3" fontId="12" fillId="0" borderId="0" xfId="0" applyNumberFormat="1" applyFont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4" xfId="0" applyNumberFormat="1" applyBorder="1" applyAlignment="1">
      <alignment wrapText="1"/>
    </xf>
    <xf numFmtId="10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10" fillId="3" borderId="2" xfId="0" applyNumberFormat="1" applyFont="1" applyFill="1" applyBorder="1" applyAlignment="1">
      <alignment wrapText="1"/>
    </xf>
    <xf numFmtId="10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10" fillId="3" borderId="21" xfId="0" applyFont="1" applyFill="1" applyBorder="1" applyAlignment="1">
      <alignment wrapText="1"/>
    </xf>
    <xf numFmtId="3" fontId="10" fillId="3" borderId="21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3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164" fontId="13" fillId="0" borderId="3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165" fontId="3" fillId="0" borderId="25" xfId="0" applyNumberFormat="1" applyFont="1" applyBorder="1" applyAlignment="1">
      <alignment wrapText="1"/>
    </xf>
    <xf numFmtId="0" fontId="3" fillId="0" borderId="26" xfId="0" applyFont="1" applyBorder="1" applyAlignment="1">
      <alignment wrapText="1"/>
    </xf>
    <xf numFmtId="164" fontId="14" fillId="0" borderId="0" xfId="0" applyNumberFormat="1" applyFont="1" applyAlignment="1">
      <alignment wrapText="1"/>
    </xf>
    <xf numFmtId="14" fontId="14" fillId="0" borderId="0" xfId="0" applyNumberFormat="1" applyFont="1" applyAlignment="1">
      <alignment wrapText="1"/>
    </xf>
    <xf numFmtId="9" fontId="3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40" fontId="0" fillId="0" borderId="1" xfId="0" applyNumberForma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10" fontId="9" fillId="0" borderId="3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10" fontId="9" fillId="0" borderId="14" xfId="0" applyNumberFormat="1" applyFont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10" fontId="0" fillId="4" borderId="1" xfId="0" applyNumberFormat="1" applyFill="1" applyBorder="1" applyAlignment="1">
      <alignment wrapText="1"/>
    </xf>
    <xf numFmtId="166" fontId="0" fillId="4" borderId="1" xfId="0" applyNumberForma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3" fontId="6" fillId="0" borderId="0" xfId="0" applyNumberFormat="1" applyFont="1" applyAlignment="1"/>
    <xf numFmtId="40" fontId="0" fillId="0" borderId="0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0" fontId="16" fillId="0" borderId="0" xfId="0" applyFont="1" applyBorder="1" applyAlignment="1"/>
    <xf numFmtId="164" fontId="17" fillId="0" borderId="0" xfId="0" applyNumberFormat="1" applyFont="1" applyAlignment="1"/>
    <xf numFmtId="0" fontId="7" fillId="4" borderId="28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165" fontId="7" fillId="4" borderId="3" xfId="0" applyNumberFormat="1" applyFont="1" applyFill="1" applyBorder="1" applyAlignment="1">
      <alignment wrapText="1"/>
    </xf>
    <xf numFmtId="9" fontId="7" fillId="4" borderId="3" xfId="0" applyNumberFormat="1" applyFont="1" applyFill="1" applyBorder="1" applyAlignment="1">
      <alignment wrapText="1"/>
    </xf>
    <xf numFmtId="40" fontId="7" fillId="4" borderId="3" xfId="0" applyNumberFormat="1" applyFont="1" applyFill="1" applyBorder="1" applyAlignment="1">
      <alignment wrapText="1"/>
    </xf>
    <xf numFmtId="10" fontId="7" fillId="4" borderId="3" xfId="0" applyNumberFormat="1" applyFont="1" applyFill="1" applyBorder="1" applyAlignment="1">
      <alignment wrapText="1"/>
    </xf>
    <xf numFmtId="3" fontId="7" fillId="4" borderId="3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11" fillId="3" borderId="30" xfId="0" applyFont="1" applyFill="1" applyBorder="1" applyAlignment="1">
      <alignment wrapText="1"/>
    </xf>
    <xf numFmtId="164" fontId="7" fillId="3" borderId="21" xfId="0" applyNumberFormat="1" applyFont="1" applyFill="1" applyBorder="1" applyAlignment="1">
      <alignment wrapText="1"/>
    </xf>
    <xf numFmtId="0" fontId="7" fillId="3" borderId="37" xfId="0" applyFont="1" applyFill="1" applyBorder="1" applyAlignment="1">
      <alignment wrapText="1"/>
    </xf>
    <xf numFmtId="0" fontId="7" fillId="3" borderId="35" xfId="0" applyFont="1" applyFill="1" applyBorder="1" applyAlignment="1">
      <alignment wrapText="1"/>
    </xf>
    <xf numFmtId="0" fontId="7" fillId="3" borderId="36" xfId="0" applyFont="1" applyFill="1" applyBorder="1" applyAlignment="1">
      <alignment wrapText="1"/>
    </xf>
    <xf numFmtId="0" fontId="7" fillId="3" borderId="38" xfId="0" applyFont="1" applyFill="1" applyBorder="1" applyAlignment="1">
      <alignment wrapText="1"/>
    </xf>
    <xf numFmtId="9" fontId="7" fillId="3" borderId="37" xfId="0" applyNumberFormat="1" applyFont="1" applyFill="1" applyBorder="1" applyAlignment="1">
      <alignment wrapText="1"/>
    </xf>
    <xf numFmtId="0" fontId="7" fillId="9" borderId="37" xfId="0" applyFont="1" applyFill="1" applyBorder="1" applyAlignment="1">
      <alignment wrapText="1"/>
    </xf>
    <xf numFmtId="164" fontId="7" fillId="13" borderId="21" xfId="0" applyNumberFormat="1" applyFont="1" applyFill="1" applyBorder="1" applyAlignment="1">
      <alignment wrapText="1"/>
    </xf>
    <xf numFmtId="0" fontId="7" fillId="13" borderId="37" xfId="0" applyFont="1" applyFill="1" applyBorder="1" applyAlignment="1">
      <alignment wrapText="1"/>
    </xf>
    <xf numFmtId="165" fontId="7" fillId="13" borderId="2" xfId="0" applyNumberFormat="1" applyFont="1" applyFill="1" applyBorder="1" applyAlignment="1">
      <alignment wrapText="1"/>
    </xf>
    <xf numFmtId="40" fontId="7" fillId="12" borderId="37" xfId="0" applyNumberFormat="1" applyFont="1" applyFill="1" applyBorder="1" applyAlignment="1">
      <alignment wrapText="1"/>
    </xf>
    <xf numFmtId="10" fontId="7" fillId="12" borderId="2" xfId="0" applyNumberFormat="1" applyFont="1" applyFill="1" applyBorder="1" applyAlignment="1">
      <alignment wrapText="1"/>
    </xf>
    <xf numFmtId="3" fontId="7" fillId="9" borderId="2" xfId="0" applyNumberFormat="1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7" fillId="7" borderId="41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10" fontId="0" fillId="4" borderId="12" xfId="0" applyNumberFormat="1" applyFill="1" applyBorder="1" applyAlignment="1">
      <alignment wrapText="1"/>
    </xf>
    <xf numFmtId="165" fontId="18" fillId="10" borderId="0" xfId="0" applyNumberFormat="1" applyFont="1" applyFill="1" applyBorder="1" applyAlignment="1">
      <alignment wrapText="1"/>
    </xf>
    <xf numFmtId="10" fontId="18" fillId="10" borderId="0" xfId="0" applyNumberFormat="1" applyFont="1" applyFill="1" applyBorder="1" applyAlignment="1">
      <alignment wrapText="1"/>
    </xf>
    <xf numFmtId="3" fontId="19" fillId="11" borderId="0" xfId="0" applyNumberFormat="1" applyFont="1" applyFill="1" applyBorder="1" applyAlignment="1">
      <alignment wrapText="1"/>
    </xf>
    <xf numFmtId="10" fontId="19" fillId="11" borderId="0" xfId="0" applyNumberFormat="1" applyFont="1" applyFill="1" applyBorder="1" applyAlignment="1">
      <alignment wrapText="1"/>
    </xf>
    <xf numFmtId="165" fontId="19" fillId="7" borderId="0" xfId="0" applyNumberFormat="1" applyFont="1" applyFill="1" applyBorder="1" applyAlignment="1">
      <alignment wrapText="1"/>
    </xf>
    <xf numFmtId="10" fontId="19" fillId="7" borderId="0" xfId="0" applyNumberFormat="1" applyFont="1" applyFill="1" applyBorder="1" applyAlignment="1">
      <alignment wrapText="1"/>
    </xf>
    <xf numFmtId="4" fontId="0" fillId="0" borderId="0" xfId="0" applyNumberFormat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0" fillId="4" borderId="1" xfId="0" applyFont="1" applyFill="1" applyBorder="1" applyAlignment="1">
      <alignment wrapText="1"/>
    </xf>
    <xf numFmtId="9" fontId="20" fillId="4" borderId="1" xfId="0" applyNumberFormat="1" applyFont="1" applyFill="1" applyBorder="1" applyAlignment="1">
      <alignment wrapText="1"/>
    </xf>
    <xf numFmtId="0" fontId="20" fillId="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/>
    <xf numFmtId="4" fontId="20" fillId="4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0" fontId="8" fillId="1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9" fontId="8" fillId="4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3" fontId="8" fillId="14" borderId="1" xfId="0" applyNumberFormat="1" applyFont="1" applyFill="1" applyBorder="1" applyAlignment="1">
      <alignment wrapText="1"/>
    </xf>
    <xf numFmtId="4" fontId="8" fillId="14" borderId="1" xfId="0" applyNumberFormat="1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9" fontId="22" fillId="14" borderId="1" xfId="0" applyNumberFormat="1" applyFont="1" applyFill="1" applyBorder="1" applyAlignment="1">
      <alignment wrapText="1"/>
    </xf>
    <xf numFmtId="0" fontId="23" fillId="2" borderId="1" xfId="0" applyFont="1" applyFill="1" applyBorder="1"/>
    <xf numFmtId="9" fontId="23" fillId="2" borderId="1" xfId="0" applyNumberFormat="1" applyFont="1" applyFill="1" applyBorder="1"/>
    <xf numFmtId="4" fontId="23" fillId="2" borderId="1" xfId="0" applyNumberFormat="1" applyFont="1" applyFill="1" applyBorder="1"/>
    <xf numFmtId="0" fontId="23" fillId="2" borderId="1" xfId="0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9" fontId="21" fillId="5" borderId="1" xfId="0" applyNumberFormat="1" applyFont="1" applyFill="1" applyBorder="1" applyAlignment="1">
      <alignment wrapText="1"/>
    </xf>
    <xf numFmtId="4" fontId="21" fillId="5" borderId="1" xfId="0" applyNumberFormat="1" applyFont="1" applyFill="1" applyBorder="1" applyAlignment="1">
      <alignment wrapText="1"/>
    </xf>
    <xf numFmtId="0" fontId="21" fillId="5" borderId="1" xfId="0" applyFont="1" applyFill="1" applyBorder="1"/>
    <xf numFmtId="10" fontId="21" fillId="5" borderId="1" xfId="0" applyNumberFormat="1" applyFont="1" applyFill="1" applyBorder="1"/>
    <xf numFmtId="4" fontId="21" fillId="5" borderId="1" xfId="0" applyNumberFormat="1" applyFont="1" applyFill="1" applyBorder="1"/>
    <xf numFmtId="0" fontId="21" fillId="0" borderId="0" xfId="0" applyFont="1"/>
    <xf numFmtId="0" fontId="24" fillId="0" borderId="0" xfId="0" applyFont="1"/>
    <xf numFmtId="0" fontId="21" fillId="5" borderId="11" xfId="0" applyFont="1" applyFill="1" applyBorder="1" applyAlignment="1">
      <alignment wrapText="1"/>
    </xf>
    <xf numFmtId="10" fontId="21" fillId="5" borderId="12" xfId="0" applyNumberFormat="1" applyFont="1" applyFill="1" applyBorder="1" applyAlignment="1">
      <alignment wrapText="1"/>
    </xf>
    <xf numFmtId="0" fontId="20" fillId="4" borderId="11" xfId="0" applyFont="1" applyFill="1" applyBorder="1" applyAlignment="1">
      <alignment wrapText="1"/>
    </xf>
    <xf numFmtId="10" fontId="8" fillId="4" borderId="12" xfId="0" applyNumberFormat="1" applyFont="1" applyFill="1" applyBorder="1" applyAlignment="1">
      <alignment wrapText="1"/>
    </xf>
    <xf numFmtId="0" fontId="23" fillId="0" borderId="11" xfId="0" applyFont="1" applyBorder="1"/>
    <xf numFmtId="10" fontId="23" fillId="2" borderId="12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0" fontId="8" fillId="14" borderId="12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10" fontId="8" fillId="0" borderId="12" xfId="0" applyNumberFormat="1" applyFont="1" applyBorder="1" applyAlignment="1">
      <alignment wrapText="1"/>
    </xf>
    <xf numFmtId="0" fontId="8" fillId="0" borderId="11" xfId="0" applyFont="1" applyBorder="1"/>
    <xf numFmtId="0" fontId="21" fillId="5" borderId="11" xfId="0" applyFont="1" applyFill="1" applyBorder="1"/>
    <xf numFmtId="0" fontId="24" fillId="8" borderId="13" xfId="0" applyFont="1" applyFill="1" applyBorder="1"/>
    <xf numFmtId="0" fontId="24" fillId="8" borderId="14" xfId="0" applyFont="1" applyFill="1" applyBorder="1"/>
    <xf numFmtId="10" fontId="24" fillId="8" borderId="14" xfId="0" applyNumberFormat="1" applyFont="1" applyFill="1" applyBorder="1"/>
    <xf numFmtId="4" fontId="24" fillId="8" borderId="14" xfId="0" applyNumberFormat="1" applyFont="1" applyFill="1" applyBorder="1"/>
    <xf numFmtId="10" fontId="24" fillId="8" borderId="15" xfId="0" applyNumberFormat="1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4" fontId="7" fillId="4" borderId="3" xfId="0" applyNumberFormat="1" applyFont="1" applyFill="1" applyBorder="1" applyAlignment="1">
      <alignment wrapText="1"/>
    </xf>
    <xf numFmtId="9" fontId="7" fillId="3" borderId="2" xfId="0" applyNumberFormat="1" applyFont="1" applyFill="1" applyBorder="1" applyAlignment="1">
      <alignment wrapText="1"/>
    </xf>
    <xf numFmtId="4" fontId="7" fillId="3" borderId="2" xfId="0" applyNumberFormat="1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64" fontId="23" fillId="2" borderId="1" xfId="0" applyNumberFormat="1" applyFont="1" applyFill="1" applyBorder="1" applyAlignment="1">
      <alignment wrapText="1"/>
    </xf>
    <xf numFmtId="0" fontId="23" fillId="2" borderId="1" xfId="0" applyNumberFormat="1" applyFont="1" applyFill="1" applyBorder="1" applyAlignment="1">
      <alignment wrapText="1"/>
    </xf>
    <xf numFmtId="9" fontId="23" fillId="2" borderId="1" xfId="0" applyNumberFormat="1" applyFont="1" applyFill="1" applyBorder="1" applyAlignment="1">
      <alignment wrapText="1"/>
    </xf>
    <xf numFmtId="4" fontId="23" fillId="2" borderId="1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/>
    <xf numFmtId="0" fontId="14" fillId="0" borderId="0" xfId="0" applyFont="1"/>
    <xf numFmtId="14" fontId="14" fillId="0" borderId="0" xfId="0" applyNumberFormat="1" applyFont="1"/>
    <xf numFmtId="0" fontId="17" fillId="0" borderId="0" xfId="0" applyFont="1"/>
    <xf numFmtId="4" fontId="25" fillId="0" borderId="0" xfId="0" applyNumberFormat="1" applyFont="1"/>
    <xf numFmtId="165" fontId="5" fillId="0" borderId="16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9" fontId="14" fillId="0" borderId="0" xfId="0" applyNumberFormat="1" applyFont="1" applyAlignment="1">
      <alignment wrapText="1"/>
    </xf>
    <xf numFmtId="40" fontId="14" fillId="0" borderId="0" xfId="0" applyNumberFormat="1" applyFont="1" applyAlignment="1">
      <alignment wrapText="1"/>
    </xf>
    <xf numFmtId="10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8" fillId="2" borderId="25" xfId="0" applyFont="1" applyFill="1" applyBorder="1" applyAlignment="1">
      <alignment wrapText="1"/>
    </xf>
    <xf numFmtId="9" fontId="22" fillId="4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28" fillId="0" borderId="42" xfId="0" applyNumberFormat="1" applyFont="1" applyBorder="1" applyAlignment="1">
      <alignment wrapText="1"/>
    </xf>
    <xf numFmtId="164" fontId="28" fillId="0" borderId="34" xfId="0" applyNumberFormat="1" applyFont="1" applyBorder="1" applyAlignment="1">
      <alignment wrapText="1"/>
    </xf>
    <xf numFmtId="164" fontId="28" fillId="0" borderId="31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4" fontId="29" fillId="0" borderId="11" xfId="0" applyNumberFormat="1" applyFont="1" applyBorder="1" applyAlignment="1">
      <alignment wrapText="1"/>
    </xf>
    <xf numFmtId="4" fontId="29" fillId="0" borderId="43" xfId="0" applyNumberFormat="1" applyFont="1" applyBorder="1" applyAlignment="1">
      <alignment wrapText="1"/>
    </xf>
    <xf numFmtId="4" fontId="27" fillId="0" borderId="1" xfId="0" applyNumberFormat="1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4" fontId="27" fillId="0" borderId="0" xfId="0" applyNumberFormat="1" applyFont="1" applyAlignment="1">
      <alignment wrapText="1"/>
    </xf>
    <xf numFmtId="0" fontId="29" fillId="13" borderId="11" xfId="0" applyFont="1" applyFill="1" applyBorder="1" applyAlignment="1">
      <alignment wrapText="1"/>
    </xf>
    <xf numFmtId="0" fontId="29" fillId="13" borderId="43" xfId="0" applyFont="1" applyFill="1" applyBorder="1" applyAlignment="1">
      <alignment wrapText="1"/>
    </xf>
    <xf numFmtId="164" fontId="28" fillId="13" borderId="1" xfId="0" applyNumberFormat="1" applyFont="1" applyFill="1" applyBorder="1" applyAlignment="1">
      <alignment wrapText="1"/>
    </xf>
    <xf numFmtId="0" fontId="28" fillId="0" borderId="0" xfId="0" applyFont="1" applyAlignment="1">
      <alignment wrapText="1"/>
    </xf>
    <xf numFmtId="10" fontId="29" fillId="13" borderId="11" xfId="0" applyNumberFormat="1" applyFont="1" applyFill="1" applyBorder="1" applyAlignment="1">
      <alignment wrapText="1"/>
    </xf>
    <xf numFmtId="10" fontId="29" fillId="13" borderId="43" xfId="0" applyNumberFormat="1" applyFont="1" applyFill="1" applyBorder="1" applyAlignment="1">
      <alignment wrapText="1"/>
    </xf>
    <xf numFmtId="10" fontId="28" fillId="13" borderId="1" xfId="0" applyNumberFormat="1" applyFont="1" applyFill="1" applyBorder="1" applyAlignment="1">
      <alignment wrapText="1"/>
    </xf>
    <xf numFmtId="10" fontId="28" fillId="0" borderId="0" xfId="0" applyNumberFormat="1" applyFont="1" applyAlignment="1">
      <alignment wrapText="1"/>
    </xf>
    <xf numFmtId="10" fontId="29" fillId="13" borderId="13" xfId="0" applyNumberFormat="1" applyFont="1" applyFill="1" applyBorder="1" applyAlignment="1">
      <alignment wrapText="1"/>
    </xf>
    <xf numFmtId="10" fontId="29" fillId="13" borderId="33" xfId="0" applyNumberFormat="1" applyFont="1" applyFill="1" applyBorder="1" applyAlignment="1">
      <alignment wrapText="1"/>
    </xf>
    <xf numFmtId="10" fontId="28" fillId="13" borderId="14" xfId="0" applyNumberFormat="1" applyFont="1" applyFill="1" applyBorder="1" applyAlignment="1">
      <alignment wrapText="1"/>
    </xf>
    <xf numFmtId="0" fontId="27" fillId="0" borderId="0" xfId="0" applyFont="1" applyAlignment="1"/>
    <xf numFmtId="9" fontId="3" fillId="0" borderId="25" xfId="0" applyNumberFormat="1" applyFont="1" applyBorder="1" applyAlignment="1">
      <alignment wrapText="1"/>
    </xf>
    <xf numFmtId="164" fontId="0" fillId="0" borderId="25" xfId="0" applyNumberFormat="1" applyBorder="1" applyAlignment="1">
      <alignment wrapText="1"/>
    </xf>
    <xf numFmtId="0" fontId="0" fillId="0" borderId="25" xfId="0" applyBorder="1" applyAlignment="1">
      <alignment wrapText="1"/>
    </xf>
    <xf numFmtId="165" fontId="0" fillId="0" borderId="25" xfId="0" applyNumberFormat="1" applyBorder="1" applyAlignment="1">
      <alignment wrapText="1"/>
    </xf>
    <xf numFmtId="40" fontId="0" fillId="0" borderId="25" xfId="0" applyNumberFormat="1" applyBorder="1" applyAlignment="1">
      <alignment wrapText="1"/>
    </xf>
    <xf numFmtId="10" fontId="0" fillId="0" borderId="25" xfId="0" applyNumberFormat="1" applyBorder="1" applyAlignment="1">
      <alignment wrapText="1"/>
    </xf>
    <xf numFmtId="3" fontId="0" fillId="4" borderId="25" xfId="0" applyNumberFormat="1" applyFill="1" applyBorder="1" applyAlignment="1">
      <alignment wrapText="1"/>
    </xf>
    <xf numFmtId="10" fontId="0" fillId="4" borderId="25" xfId="0" applyNumberFormat="1" applyFill="1" applyBorder="1" applyAlignment="1">
      <alignment wrapText="1"/>
    </xf>
    <xf numFmtId="166" fontId="0" fillId="4" borderId="25" xfId="0" applyNumberFormat="1" applyFill="1" applyBorder="1" applyAlignment="1">
      <alignment wrapText="1"/>
    </xf>
    <xf numFmtId="10" fontId="0" fillId="4" borderId="26" xfId="0" applyNumberForma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165" fontId="3" fillId="0" borderId="14" xfId="0" applyNumberFormat="1" applyFont="1" applyBorder="1" applyAlignment="1">
      <alignment wrapText="1"/>
    </xf>
    <xf numFmtId="9" fontId="3" fillId="0" borderId="14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40" fontId="0" fillId="0" borderId="14" xfId="0" applyNumberFormat="1" applyBorder="1" applyAlignment="1">
      <alignment wrapText="1"/>
    </xf>
    <xf numFmtId="3" fontId="0" fillId="4" borderId="14" xfId="0" applyNumberFormat="1" applyFill="1" applyBorder="1" applyAlignment="1">
      <alignment wrapText="1"/>
    </xf>
    <xf numFmtId="10" fontId="0" fillId="4" borderId="14" xfId="0" applyNumberFormat="1" applyFill="1" applyBorder="1" applyAlignment="1">
      <alignment wrapText="1"/>
    </xf>
    <xf numFmtId="166" fontId="0" fillId="4" borderId="14" xfId="0" applyNumberFormat="1" applyFill="1" applyBorder="1" applyAlignment="1">
      <alignment wrapText="1"/>
    </xf>
    <xf numFmtId="10" fontId="0" fillId="4" borderId="15" xfId="0" applyNumberForma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23" fillId="4" borderId="1" xfId="0" applyFont="1" applyFill="1" applyBorder="1"/>
    <xf numFmtId="0" fontId="30" fillId="14" borderId="1" xfId="0" applyFont="1" applyFill="1" applyBorder="1" applyAlignment="1">
      <alignment wrapText="1"/>
    </xf>
    <xf numFmtId="4" fontId="27" fillId="0" borderId="44" xfId="0" applyNumberFormat="1" applyFont="1" applyBorder="1" applyAlignment="1">
      <alignment wrapText="1"/>
    </xf>
    <xf numFmtId="0" fontId="11" fillId="0" borderId="0" xfId="0" applyFont="1" applyAlignment="1"/>
    <xf numFmtId="0" fontId="31" fillId="0" borderId="0" xfId="0" applyFont="1" applyBorder="1" applyAlignment="1"/>
    <xf numFmtId="164" fontId="11" fillId="0" borderId="0" xfId="0" applyNumberFormat="1" applyFont="1" applyAlignment="1"/>
    <xf numFmtId="3" fontId="11" fillId="0" borderId="0" xfId="0" applyNumberFormat="1" applyFont="1" applyAlignment="1"/>
    <xf numFmtId="0" fontId="31" fillId="0" borderId="0" xfId="0" applyFont="1" applyAlignment="1"/>
    <xf numFmtId="164" fontId="0" fillId="4" borderId="1" xfId="0" applyNumberForma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164" fontId="0" fillId="4" borderId="14" xfId="0" applyNumberFormat="1" applyFill="1" applyBorder="1" applyAlignment="1">
      <alignment wrapText="1"/>
    </xf>
    <xf numFmtId="164" fontId="32" fillId="0" borderId="1" xfId="0" applyNumberFormat="1" applyFont="1" applyBorder="1" applyAlignment="1">
      <alignment wrapText="1"/>
    </xf>
    <xf numFmtId="164" fontId="32" fillId="0" borderId="3" xfId="0" applyNumberFormat="1" applyFont="1" applyBorder="1" applyAlignment="1">
      <alignment wrapText="1"/>
    </xf>
    <xf numFmtId="0" fontId="6" fillId="0" borderId="0" xfId="0" applyNumberFormat="1" applyFont="1" applyAlignment="1"/>
    <xf numFmtId="0" fontId="0" fillId="0" borderId="0" xfId="0" applyNumberFormat="1" applyAlignment="1">
      <alignment wrapText="1"/>
    </xf>
    <xf numFmtId="0" fontId="7" fillId="3" borderId="2" xfId="0" applyNumberFormat="1" applyFont="1" applyFill="1" applyBorder="1" applyAlignment="1">
      <alignment wrapText="1"/>
    </xf>
    <xf numFmtId="0" fontId="13" fillId="0" borderId="3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32" fillId="4" borderId="1" xfId="0" applyFont="1" applyFill="1" applyBorder="1" applyAlignment="1">
      <alignment wrapText="1"/>
    </xf>
    <xf numFmtId="0" fontId="17" fillId="0" borderId="0" xfId="0" applyFont="1" applyAlignment="1"/>
    <xf numFmtId="164" fontId="28" fillId="0" borderId="32" xfId="0" applyNumberFormat="1" applyFont="1" applyBorder="1" applyAlignment="1">
      <alignment wrapText="1"/>
    </xf>
    <xf numFmtId="164" fontId="28" fillId="13" borderId="12" xfId="0" applyNumberFormat="1" applyFont="1" applyFill="1" applyBorder="1" applyAlignment="1">
      <alignment wrapText="1"/>
    </xf>
    <xf numFmtId="10" fontId="28" fillId="13" borderId="12" xfId="0" applyNumberFormat="1" applyFont="1" applyFill="1" applyBorder="1" applyAlignment="1">
      <alignment wrapText="1"/>
    </xf>
    <xf numFmtId="10" fontId="28" fillId="13" borderId="15" xfId="0" applyNumberFormat="1" applyFont="1" applyFill="1" applyBorder="1" applyAlignment="1">
      <alignment wrapText="1"/>
    </xf>
    <xf numFmtId="0" fontId="8" fillId="2" borderId="42" xfId="0" applyFont="1" applyFill="1" applyBorder="1" applyAlignment="1">
      <alignment wrapText="1"/>
    </xf>
    <xf numFmtId="164" fontId="8" fillId="2" borderId="31" xfId="0" applyNumberFormat="1" applyFont="1" applyFill="1" applyBorder="1" applyAlignment="1">
      <alignment wrapText="1"/>
    </xf>
    <xf numFmtId="0" fontId="8" fillId="2" borderId="31" xfId="0" applyFont="1" applyFill="1" applyBorder="1" applyAlignment="1">
      <alignment wrapText="1"/>
    </xf>
    <xf numFmtId="3" fontId="8" fillId="2" borderId="31" xfId="0" applyNumberFormat="1" applyFont="1" applyFill="1" applyBorder="1" applyAlignment="1">
      <alignment wrapText="1"/>
    </xf>
    <xf numFmtId="165" fontId="8" fillId="2" borderId="31" xfId="0" applyNumberFormat="1" applyFont="1" applyFill="1" applyBorder="1" applyAlignment="1">
      <alignment wrapText="1"/>
    </xf>
    <xf numFmtId="9" fontId="8" fillId="2" borderId="31" xfId="0" applyNumberFormat="1" applyFont="1" applyFill="1" applyBorder="1" applyAlignment="1">
      <alignment wrapText="1"/>
    </xf>
    <xf numFmtId="0" fontId="0" fillId="2" borderId="31" xfId="0" applyFill="1" applyBorder="1" applyAlignment="1">
      <alignment wrapText="1"/>
    </xf>
    <xf numFmtId="165" fontId="0" fillId="2" borderId="31" xfId="0" applyNumberFormat="1" applyFill="1" applyBorder="1" applyAlignment="1">
      <alignment wrapText="1"/>
    </xf>
    <xf numFmtId="40" fontId="0" fillId="2" borderId="31" xfId="0" applyNumberFormat="1" applyFill="1" applyBorder="1" applyAlignment="1">
      <alignment wrapText="1"/>
    </xf>
    <xf numFmtId="10" fontId="0" fillId="2" borderId="31" xfId="0" applyNumberFormat="1" applyFill="1" applyBorder="1" applyAlignment="1">
      <alignment wrapText="1"/>
    </xf>
    <xf numFmtId="3" fontId="0" fillId="2" borderId="31" xfId="0" applyNumberFormat="1" applyFill="1" applyBorder="1" applyAlignment="1">
      <alignment wrapText="1"/>
    </xf>
    <xf numFmtId="166" fontId="0" fillId="2" borderId="31" xfId="0" applyNumberFormat="1" applyFill="1" applyBorder="1" applyAlignment="1">
      <alignment wrapText="1"/>
    </xf>
    <xf numFmtId="10" fontId="0" fillId="2" borderId="32" xfId="0" applyNumberFormat="1" applyFill="1" applyBorder="1" applyAlignment="1">
      <alignment wrapText="1"/>
    </xf>
    <xf numFmtId="10" fontId="5" fillId="13" borderId="11" xfId="0" applyNumberFormat="1" applyFont="1" applyFill="1" applyBorder="1" applyAlignment="1">
      <alignment wrapText="1"/>
    </xf>
    <xf numFmtId="10" fontId="5" fillId="13" borderId="13" xfId="0" applyNumberFormat="1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40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0" fontId="0" fillId="2" borderId="12" xfId="0" applyNumberFormat="1" applyFill="1" applyBorder="1" applyAlignment="1">
      <alignment wrapText="1"/>
    </xf>
    <xf numFmtId="0" fontId="8" fillId="2" borderId="45" xfId="0" applyFont="1" applyFill="1" applyBorder="1" applyAlignment="1">
      <alignment wrapText="1"/>
    </xf>
    <xf numFmtId="164" fontId="8" fillId="2" borderId="14" xfId="0" applyNumberFormat="1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165" fontId="8" fillId="2" borderId="14" xfId="0" applyNumberFormat="1" applyFont="1" applyFill="1" applyBorder="1" applyAlignment="1">
      <alignment wrapText="1"/>
    </xf>
    <xf numFmtId="9" fontId="8" fillId="2" borderId="14" xfId="0" applyNumberFormat="1" applyFont="1" applyFill="1" applyBorder="1" applyAlignment="1">
      <alignment wrapText="1"/>
    </xf>
    <xf numFmtId="164" fontId="0" fillId="2" borderId="14" xfId="0" applyNumberFormat="1" applyFill="1" applyBorder="1" applyAlignment="1">
      <alignment wrapText="1"/>
    </xf>
    <xf numFmtId="0" fontId="0" fillId="2" borderId="14" xfId="0" applyFill="1" applyBorder="1" applyAlignment="1">
      <alignment wrapText="1"/>
    </xf>
    <xf numFmtId="165" fontId="0" fillId="2" borderId="14" xfId="0" applyNumberFormat="1" applyFill="1" applyBorder="1" applyAlignment="1">
      <alignment wrapText="1"/>
    </xf>
    <xf numFmtId="40" fontId="0" fillId="2" borderId="14" xfId="0" applyNumberFormat="1" applyFill="1" applyBorder="1" applyAlignment="1">
      <alignment wrapText="1"/>
    </xf>
    <xf numFmtId="10" fontId="0" fillId="2" borderId="14" xfId="0" applyNumberFormat="1" applyFill="1" applyBorder="1" applyAlignment="1">
      <alignment wrapText="1"/>
    </xf>
    <xf numFmtId="3" fontId="0" fillId="2" borderId="14" xfId="0" applyNumberFormat="1" applyFill="1" applyBorder="1" applyAlignment="1">
      <alignment wrapText="1"/>
    </xf>
    <xf numFmtId="166" fontId="0" fillId="2" borderId="14" xfId="0" applyNumberFormat="1" applyFill="1" applyBorder="1" applyAlignment="1">
      <alignment wrapText="1"/>
    </xf>
    <xf numFmtId="10" fontId="0" fillId="2" borderId="15" xfId="0" applyNumberForma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4" fontId="8" fillId="2" borderId="25" xfId="0" applyNumberFormat="1" applyFont="1" applyFill="1" applyBorder="1" applyAlignment="1">
      <alignment wrapText="1"/>
    </xf>
    <xf numFmtId="165" fontId="8" fillId="2" borderId="25" xfId="0" applyNumberFormat="1" applyFont="1" applyFill="1" applyBorder="1" applyAlignment="1">
      <alignment wrapText="1"/>
    </xf>
    <xf numFmtId="9" fontId="8" fillId="2" borderId="25" xfId="0" applyNumberFormat="1" applyFont="1" applyFill="1" applyBorder="1" applyAlignment="1">
      <alignment wrapText="1"/>
    </xf>
    <xf numFmtId="164" fontId="0" fillId="2" borderId="46" xfId="0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165" fontId="0" fillId="2" borderId="25" xfId="0" applyNumberFormat="1" applyFill="1" applyBorder="1" applyAlignment="1">
      <alignment wrapText="1"/>
    </xf>
    <xf numFmtId="40" fontId="0" fillId="2" borderId="25" xfId="0" applyNumberFormat="1" applyFill="1" applyBorder="1" applyAlignment="1">
      <alignment wrapText="1"/>
    </xf>
    <xf numFmtId="10" fontId="0" fillId="2" borderId="25" xfId="0" applyNumberFormat="1" applyFill="1" applyBorder="1" applyAlignment="1">
      <alignment wrapText="1"/>
    </xf>
    <xf numFmtId="3" fontId="0" fillId="2" borderId="25" xfId="0" applyNumberFormat="1" applyFill="1" applyBorder="1" applyAlignment="1">
      <alignment wrapText="1"/>
    </xf>
    <xf numFmtId="166" fontId="0" fillId="2" borderId="25" xfId="0" applyNumberFormat="1" applyFill="1" applyBorder="1" applyAlignment="1">
      <alignment wrapText="1"/>
    </xf>
    <xf numFmtId="10" fontId="0" fillId="2" borderId="26" xfId="0" applyNumberFormat="1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40" fontId="0" fillId="2" borderId="3" xfId="0" applyNumberFormat="1" applyFill="1" applyBorder="1" applyAlignment="1">
      <alignment wrapText="1"/>
    </xf>
    <xf numFmtId="10" fontId="0" fillId="2" borderId="3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0" fontId="0" fillId="2" borderId="10" xfId="0" applyNumberForma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164" fontId="8" fillId="2" borderId="3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9" fontId="8" fillId="2" borderId="3" xfId="0" applyNumberFormat="1" applyFont="1" applyFill="1" applyBorder="1" applyAlignment="1">
      <alignment wrapText="1"/>
    </xf>
    <xf numFmtId="164" fontId="0" fillId="2" borderId="19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164" fontId="8" fillId="2" borderId="43" xfId="0" applyNumberFormat="1" applyFont="1" applyFill="1" applyBorder="1" applyAlignment="1">
      <alignment wrapText="1"/>
    </xf>
    <xf numFmtId="0" fontId="3" fillId="0" borderId="47" xfId="0" applyFont="1" applyBorder="1" applyAlignment="1">
      <alignment wrapText="1"/>
    </xf>
    <xf numFmtId="164" fontId="33" fillId="0" borderId="1" xfId="0" applyNumberFormat="1" applyFont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4" fontId="34" fillId="0" borderId="1" xfId="0" applyNumberFormat="1" applyFont="1" applyBorder="1" applyAlignment="1">
      <alignment wrapText="1"/>
    </xf>
    <xf numFmtId="0" fontId="34" fillId="4" borderId="1" xfId="0" applyFont="1" applyFill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1" xfId="0" applyNumberFormat="1" applyFont="1" applyBorder="1" applyAlignment="1">
      <alignment wrapText="1"/>
    </xf>
    <xf numFmtId="165" fontId="34" fillId="0" borderId="1" xfId="0" applyNumberFormat="1" applyFont="1" applyBorder="1" applyAlignment="1">
      <alignment wrapText="1"/>
    </xf>
    <xf numFmtId="0" fontId="34" fillId="4" borderId="12" xfId="0" applyFont="1" applyFill="1" applyBorder="1" applyAlignment="1">
      <alignment wrapText="1"/>
    </xf>
    <xf numFmtId="0" fontId="34" fillId="0" borderId="42" xfId="0" applyFont="1" applyBorder="1" applyAlignment="1">
      <alignment wrapText="1"/>
    </xf>
    <xf numFmtId="0" fontId="34" fillId="0" borderId="25" xfId="0" applyFont="1" applyBorder="1" applyAlignment="1">
      <alignment wrapText="1"/>
    </xf>
    <xf numFmtId="9" fontId="34" fillId="0" borderId="1" xfId="0" applyNumberFormat="1" applyFont="1" applyBorder="1" applyAlignment="1">
      <alignment wrapText="1"/>
    </xf>
    <xf numFmtId="0" fontId="21" fillId="0" borderId="11" xfId="0" applyFont="1" applyFill="1" applyBorder="1"/>
    <xf numFmtId="0" fontId="21" fillId="0" borderId="1" xfId="0" applyFont="1" applyFill="1" applyBorder="1"/>
    <xf numFmtId="10" fontId="21" fillId="0" borderId="1" xfId="0" applyNumberFormat="1" applyFont="1" applyFill="1" applyBorder="1"/>
    <xf numFmtId="4" fontId="21" fillId="0" borderId="1" xfId="0" applyNumberFormat="1" applyFont="1" applyFill="1" applyBorder="1"/>
    <xf numFmtId="10" fontId="21" fillId="0" borderId="12" xfId="0" applyNumberFormat="1" applyFont="1" applyFill="1" applyBorder="1" applyAlignment="1">
      <alignment wrapText="1"/>
    </xf>
    <xf numFmtId="0" fontId="21" fillId="15" borderId="11" xfId="0" applyFont="1" applyFill="1" applyBorder="1"/>
    <xf numFmtId="0" fontId="21" fillId="15" borderId="1" xfId="0" applyFont="1" applyFill="1" applyBorder="1"/>
    <xf numFmtId="10" fontId="21" fillId="15" borderId="1" xfId="0" applyNumberFormat="1" applyFont="1" applyFill="1" applyBorder="1"/>
    <xf numFmtId="4" fontId="21" fillId="15" borderId="1" xfId="0" applyNumberFormat="1" applyFont="1" applyFill="1" applyBorder="1"/>
    <xf numFmtId="10" fontId="21" fillId="15" borderId="12" xfId="0" applyNumberFormat="1" applyFont="1" applyFill="1" applyBorder="1" applyAlignment="1">
      <alignment wrapText="1"/>
    </xf>
    <xf numFmtId="0" fontId="35" fillId="14" borderId="1" xfId="0" applyFont="1" applyFill="1" applyBorder="1" applyAlignment="1">
      <alignment wrapText="1"/>
    </xf>
    <xf numFmtId="0" fontId="34" fillId="14" borderId="1" xfId="0" applyFont="1" applyFill="1" applyBorder="1" applyAlignment="1">
      <alignment wrapText="1"/>
    </xf>
    <xf numFmtId="9" fontId="36" fillId="14" borderId="1" xfId="0" applyNumberFormat="1" applyFont="1" applyFill="1" applyBorder="1" applyAlignment="1">
      <alignment wrapText="1"/>
    </xf>
    <xf numFmtId="4" fontId="34" fillId="14" borderId="1" xfId="0" applyNumberFormat="1" applyFont="1" applyFill="1" applyBorder="1" applyAlignment="1">
      <alignment wrapText="1"/>
    </xf>
    <xf numFmtId="10" fontId="34" fillId="14" borderId="12" xfId="0" applyNumberFormat="1" applyFont="1" applyFill="1" applyBorder="1" applyAlignment="1">
      <alignment wrapText="1"/>
    </xf>
    <xf numFmtId="10" fontId="5" fillId="13" borderId="33" xfId="0" applyNumberFormat="1" applyFont="1" applyFill="1" applyBorder="1" applyAlignment="1">
      <alignment wrapText="1"/>
    </xf>
    <xf numFmtId="10" fontId="5" fillId="13" borderId="43" xfId="0" applyNumberFormat="1" applyFont="1" applyFill="1" applyBorder="1" applyAlignment="1">
      <alignment wrapText="1"/>
    </xf>
    <xf numFmtId="164" fontId="37" fillId="0" borderId="1" xfId="0" applyNumberFormat="1" applyFont="1" applyBorder="1" applyAlignment="1">
      <alignment wrapText="1"/>
    </xf>
    <xf numFmtId="0" fontId="37" fillId="4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NumberFormat="1" applyFont="1" applyBorder="1" applyAlignment="1">
      <alignment wrapText="1"/>
    </xf>
    <xf numFmtId="165" fontId="37" fillId="0" borderId="1" xfId="0" applyNumberFormat="1" applyFont="1" applyBorder="1" applyAlignment="1">
      <alignment wrapText="1"/>
    </xf>
    <xf numFmtId="0" fontId="37" fillId="4" borderId="12" xfId="0" applyFont="1" applyFill="1" applyBorder="1" applyAlignment="1">
      <alignment wrapText="1"/>
    </xf>
    <xf numFmtId="164" fontId="28" fillId="0" borderId="48" xfId="0" applyNumberFormat="1" applyFont="1" applyBorder="1" applyAlignment="1">
      <alignment wrapText="1"/>
    </xf>
    <xf numFmtId="164" fontId="28" fillId="13" borderId="44" xfId="0" applyNumberFormat="1" applyFont="1" applyFill="1" applyBorder="1" applyAlignment="1">
      <alignment wrapText="1"/>
    </xf>
    <xf numFmtId="10" fontId="28" fillId="13" borderId="44" xfId="0" applyNumberFormat="1" applyFont="1" applyFill="1" applyBorder="1" applyAlignment="1">
      <alignment wrapText="1"/>
    </xf>
    <xf numFmtId="10" fontId="28" fillId="13" borderId="49" xfId="0" applyNumberFormat="1" applyFont="1" applyFill="1" applyBorder="1" applyAlignment="1">
      <alignment wrapText="1"/>
    </xf>
    <xf numFmtId="4" fontId="40" fillId="0" borderId="0" xfId="0" applyNumberFormat="1" applyFont="1" applyAlignment="1">
      <alignment wrapText="1"/>
    </xf>
    <xf numFmtId="4" fontId="41" fillId="0" borderId="11" xfId="0" applyNumberFormat="1" applyFont="1" applyBorder="1" applyAlignment="1">
      <alignment wrapText="1"/>
    </xf>
    <xf numFmtId="4" fontId="41" fillId="0" borderId="43" xfId="0" applyNumberFormat="1" applyFont="1" applyBorder="1" applyAlignment="1">
      <alignment wrapText="1"/>
    </xf>
    <xf numFmtId="4" fontId="40" fillId="0" borderId="1" xfId="0" applyNumberFormat="1" applyFont="1" applyBorder="1" applyAlignment="1">
      <alignment wrapText="1"/>
    </xf>
    <xf numFmtId="4" fontId="40" fillId="0" borderId="44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10" fontId="42" fillId="0" borderId="0" xfId="0" applyNumberFormat="1" applyFont="1" applyAlignment="1">
      <alignment wrapText="1"/>
    </xf>
    <xf numFmtId="0" fontId="5" fillId="0" borderId="16" xfId="0" applyFont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1" fillId="13" borderId="4" xfId="0" applyFont="1" applyFill="1" applyBorder="1" applyAlignment="1">
      <alignment horizontal="center" wrapText="1"/>
    </xf>
    <xf numFmtId="0" fontId="11" fillId="13" borderId="22" xfId="0" applyFont="1" applyFill="1" applyBorder="1" applyAlignment="1">
      <alignment horizontal="center" wrapText="1"/>
    </xf>
    <xf numFmtId="0" fontId="11" fillId="13" borderId="39" xfId="0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0" fontId="11" fillId="12" borderId="5" xfId="0" applyFont="1" applyFill="1" applyBorder="1" applyAlignment="1">
      <alignment horizont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center" wrapText="1"/>
    </xf>
    <xf numFmtId="164" fontId="11" fillId="3" borderId="22" xfId="0" applyNumberFormat="1" applyFont="1" applyFill="1" applyBorder="1" applyAlignment="1">
      <alignment horizontal="center" wrapText="1"/>
    </xf>
    <xf numFmtId="164" fontId="11" fillId="3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Доходность 2017</a:t>
            </a:r>
          </a:p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321896262433581E-2"/>
          <c:y val="0.12256790978050823"/>
          <c:w val="0.90191313677031248"/>
          <c:h val="0.7839386475847353"/>
        </c:manualLayout>
      </c:layout>
      <c:lineChart>
        <c:grouping val="standard"/>
        <c:varyColors val="0"/>
        <c:ser>
          <c:idx val="0"/>
          <c:order val="0"/>
          <c:tx>
            <c:strRef>
              <c:f>Аналитика!$C$46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Аналитика!$D$46:$Y$46</c:f>
              <c:numCache>
                <c:formatCode>0.00%</c:formatCode>
                <c:ptCount val="22"/>
                <c:pt idx="0">
                  <c:v>0</c:v>
                </c:pt>
                <c:pt idx="1">
                  <c:v>9.8162759999999682E-2</c:v>
                </c:pt>
                <c:pt idx="2">
                  <c:v>0.12522295999999988</c:v>
                </c:pt>
                <c:pt idx="3">
                  <c:v>0.13086809333333305</c:v>
                </c:pt>
                <c:pt idx="4">
                  <c:v>0.18830972666666668</c:v>
                </c:pt>
                <c:pt idx="5">
                  <c:v>0.22658089333333331</c:v>
                </c:pt>
                <c:pt idx="6">
                  <c:v>0.19431952666666641</c:v>
                </c:pt>
                <c:pt idx="7">
                  <c:v>0.1950633599999998</c:v>
                </c:pt>
                <c:pt idx="8">
                  <c:v>0.18637412666666653</c:v>
                </c:pt>
                <c:pt idx="9">
                  <c:v>0.1895124933333332</c:v>
                </c:pt>
                <c:pt idx="10">
                  <c:v>0.18757402666666678</c:v>
                </c:pt>
                <c:pt idx="11">
                  <c:v>0.19496302666666665</c:v>
                </c:pt>
                <c:pt idx="12">
                  <c:v>0.18879319333333333</c:v>
                </c:pt>
                <c:pt idx="13">
                  <c:v>0.19481576000000023</c:v>
                </c:pt>
                <c:pt idx="14">
                  <c:v>0.1644856600000002</c:v>
                </c:pt>
                <c:pt idx="15">
                  <c:v>0.16567302666666706</c:v>
                </c:pt>
                <c:pt idx="16">
                  <c:v>0.14451656000000046</c:v>
                </c:pt>
                <c:pt idx="17">
                  <c:v>0.15517356000000015</c:v>
                </c:pt>
                <c:pt idx="18">
                  <c:v>0.10602422666666689</c:v>
                </c:pt>
                <c:pt idx="19">
                  <c:v>0.12593549333333343</c:v>
                </c:pt>
                <c:pt idx="20">
                  <c:v>0.10379106000000027</c:v>
                </c:pt>
                <c:pt idx="21">
                  <c:v>0.13323199333333346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9F3-A572-EDA5C385D95F}"/>
            </c:ext>
          </c:extLst>
        </c:ser>
        <c:ser>
          <c:idx val="1"/>
          <c:order val="1"/>
          <c:tx>
            <c:strRef>
              <c:f>Аналитика!$C$47</c:f>
              <c:strCache>
                <c:ptCount val="1"/>
                <c:pt idx="0">
                  <c:v>MICEX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Аналитика!$D$47:$Y$47</c:f>
              <c:numCache>
                <c:formatCode>0.00%</c:formatCode>
                <c:ptCount val="22"/>
                <c:pt idx="0">
                  <c:v>0</c:v>
                </c:pt>
                <c:pt idx="1">
                  <c:v>-2.7574013657824858E-2</c:v>
                </c:pt>
                <c:pt idx="2">
                  <c:v>-1.4757137935925813E-2</c:v>
                </c:pt>
                <c:pt idx="3">
                  <c:v>-2.1910271738029174E-2</c:v>
                </c:pt>
                <c:pt idx="4">
                  <c:v>2.6241666497801575E-3</c:v>
                </c:pt>
                <c:pt idx="5">
                  <c:v>2.4448317088492155E-2</c:v>
                </c:pt>
                <c:pt idx="6">
                  <c:v>2.9782771687369536E-2</c:v>
                </c:pt>
                <c:pt idx="7">
                  <c:v>4.0451680885124297E-2</c:v>
                </c:pt>
                <c:pt idx="8">
                  <c:v>3.9347301870352069E-2</c:v>
                </c:pt>
                <c:pt idx="9">
                  <c:v>5.2300958479401638E-2</c:v>
                </c:pt>
                <c:pt idx="10">
                  <c:v>6.0740845812478517E-2</c:v>
                </c:pt>
                <c:pt idx="11">
                  <c:v>6.3228231575107818E-2</c:v>
                </c:pt>
                <c:pt idx="12">
                  <c:v>4.9580538612737701E-2</c:v>
                </c:pt>
                <c:pt idx="13">
                  <c:v>4.8025289266246718E-2</c:v>
                </c:pt>
                <c:pt idx="14">
                  <c:v>5.4302012198828686E-2</c:v>
                </c:pt>
                <c:pt idx="15">
                  <c:v>9.8938175039007925E-2</c:v>
                </c:pt>
                <c:pt idx="16">
                  <c:v>8.0016818983160709E-2</c:v>
                </c:pt>
                <c:pt idx="17">
                  <c:v>9.4839814383270271E-2</c:v>
                </c:pt>
                <c:pt idx="18">
                  <c:v>6.6379257938357306E-2</c:v>
                </c:pt>
                <c:pt idx="19">
                  <c:v>8.6136497193458617E-2</c:v>
                </c:pt>
                <c:pt idx="20">
                  <c:v>6.5340736387768716E-2</c:v>
                </c:pt>
                <c:pt idx="21">
                  <c:v>6.8785588360452898E-2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9F3-A572-EDA5C385D9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3717792"/>
        <c:axId val="403716152"/>
      </c:lineChart>
      <c:catAx>
        <c:axId val="40371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6152"/>
        <c:crosses val="autoZero"/>
        <c:auto val="0"/>
        <c:lblAlgn val="ctr"/>
        <c:lblOffset val="100"/>
        <c:noMultiLvlLbl val="0"/>
      </c:catAx>
      <c:valAx>
        <c:axId val="40371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7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36153316656318E-2"/>
          <c:y val="0.18685664291963508"/>
          <c:w val="0.9018420831724393"/>
          <c:h val="0.75758780152480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Аналитика!$C$10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Аналитика!$D$9:$AP$9</c:f>
              <c:numCache>
                <c:formatCode>dd/mm/yy;@</c:formatCode>
                <c:ptCount val="39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  <c:pt idx="31">
                  <c:v>43343</c:v>
                </c:pt>
                <c:pt idx="32">
                  <c:v>43350</c:v>
                </c:pt>
                <c:pt idx="33">
                  <c:v>43357</c:v>
                </c:pt>
              </c:numCache>
            </c:numRef>
          </c:xVal>
          <c:yVal>
            <c:numRef>
              <c:f>Аналитика!$D$10:$AP$10</c:f>
              <c:numCache>
                <c:formatCode>0.00%</c:formatCode>
                <c:ptCount val="39"/>
                <c:pt idx="0">
                  <c:v>0</c:v>
                </c:pt>
                <c:pt idx="1">
                  <c:v>4.5452684614900818E-2</c:v>
                </c:pt>
                <c:pt idx="2">
                  <c:v>2.2713162641537332E-2</c:v>
                </c:pt>
                <c:pt idx="3">
                  <c:v>2.1039421964766714E-2</c:v>
                </c:pt>
                <c:pt idx="4">
                  <c:v>2.1149165367282841E-2</c:v>
                </c:pt>
                <c:pt idx="5">
                  <c:v>-2.7792024564312623E-3</c:v>
                </c:pt>
                <c:pt idx="6">
                  <c:v>2.311230505590145E-2</c:v>
                </c:pt>
                <c:pt idx="7">
                  <c:v>7.0822941722962218E-2</c:v>
                </c:pt>
                <c:pt idx="8">
                  <c:v>7.6272895055872203E-2</c:v>
                </c:pt>
                <c:pt idx="9">
                  <c:v>8.7876998807063345E-2</c:v>
                </c:pt>
                <c:pt idx="10">
                  <c:v>9.076068510271762E-2</c:v>
                </c:pt>
                <c:pt idx="11">
                  <c:v>6.8094120346497533E-2</c:v>
                </c:pt>
                <c:pt idx="12">
                  <c:v>6.8016118869821396E-2</c:v>
                </c:pt>
                <c:pt idx="13">
                  <c:v>3.4473884499682583E-2</c:v>
                </c:pt>
                <c:pt idx="14">
                  <c:v>3.5615978676315718E-2</c:v>
                </c:pt>
                <c:pt idx="15">
                  <c:v>2.8644639759130675E-2</c:v>
                </c:pt>
                <c:pt idx="16">
                  <c:v>-3.9941800317756515E-3</c:v>
                </c:pt>
                <c:pt idx="17">
                  <c:v>5.7550707495846787E-2</c:v>
                </c:pt>
                <c:pt idx="18">
                  <c:v>6.7565408129039772E-2</c:v>
                </c:pt>
                <c:pt idx="19">
                  <c:v>5.6822365631614247E-2</c:v>
                </c:pt>
                <c:pt idx="20">
                  <c:v>0.10125121934977965</c:v>
                </c:pt>
                <c:pt idx="21">
                  <c:v>0.11600014210048193</c:v>
                </c:pt>
                <c:pt idx="22">
                  <c:v>9.2920809277623695E-2</c:v>
                </c:pt>
                <c:pt idx="23">
                  <c:v>7.6669681431942305E-2</c:v>
                </c:pt>
                <c:pt idx="24">
                  <c:v>3.7020571197801111E-2</c:v>
                </c:pt>
                <c:pt idx="25">
                  <c:v>-3.1898777705172465E-2</c:v>
                </c:pt>
                <c:pt idx="26">
                  <c:v>8.4226228273351689E-2</c:v>
                </c:pt>
                <c:pt idx="27">
                  <c:v>6.34684851427334E-2</c:v>
                </c:pt>
                <c:pt idx="28">
                  <c:v>9.3922279340943104E-2</c:v>
                </c:pt>
                <c:pt idx="29">
                  <c:v>0.16702959396325157</c:v>
                </c:pt>
                <c:pt idx="30">
                  <c:v>0.19324990107561169</c:v>
                </c:pt>
                <c:pt idx="31">
                  <c:v>0.18592096106677491</c:v>
                </c:pt>
                <c:pt idx="32">
                  <c:v>0.21824113129207934</c:v>
                </c:pt>
                <c:pt idx="33">
                  <c:v>0.15537612413553648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6-4E1C-ACB7-8123D8BE51B5}"/>
            </c:ext>
          </c:extLst>
        </c:ser>
        <c:ser>
          <c:idx val="1"/>
          <c:order val="1"/>
          <c:tx>
            <c:strRef>
              <c:f>Аналитика!$C$11</c:f>
              <c:strCache>
                <c:ptCount val="1"/>
                <c:pt idx="0">
                  <c:v>инд. МОСБИРЖИ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Аналитика!$D$9:$AP$9</c:f>
              <c:numCache>
                <c:formatCode>dd/mm/yy;@</c:formatCode>
                <c:ptCount val="39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  <c:pt idx="31">
                  <c:v>43343</c:v>
                </c:pt>
                <c:pt idx="32">
                  <c:v>43350</c:v>
                </c:pt>
                <c:pt idx="33">
                  <c:v>43357</c:v>
                </c:pt>
              </c:numCache>
            </c:numRef>
          </c:xVal>
          <c:yVal>
            <c:numRef>
              <c:f>Аналитика!$D$11:$AP$11</c:f>
              <c:numCache>
                <c:formatCode>0.00%</c:formatCode>
                <c:ptCount val="39"/>
                <c:pt idx="0">
                  <c:v>0</c:v>
                </c:pt>
                <c:pt idx="1">
                  <c:v>7.2350147411529564E-2</c:v>
                </c:pt>
                <c:pt idx="2">
                  <c:v>8.3702257150170212E-2</c:v>
                </c:pt>
                <c:pt idx="3">
                  <c:v>8.7935006209296063E-2</c:v>
                </c:pt>
                <c:pt idx="4">
                  <c:v>8.1574032819210052E-2</c:v>
                </c:pt>
                <c:pt idx="5">
                  <c:v>4.1417425843942812E-2</c:v>
                </c:pt>
                <c:pt idx="6">
                  <c:v>6.898006389412914E-2</c:v>
                </c:pt>
                <c:pt idx="7">
                  <c:v>0.10763411605221518</c:v>
                </c:pt>
                <c:pt idx="8">
                  <c:v>8.4891977210462155E-2</c:v>
                </c:pt>
                <c:pt idx="9">
                  <c:v>8.7622171452406583E-2</c:v>
                </c:pt>
                <c:pt idx="10">
                  <c:v>8.3323063505455819E-2</c:v>
                </c:pt>
                <c:pt idx="11">
                  <c:v>7.6426479092210453E-2</c:v>
                </c:pt>
                <c:pt idx="12">
                  <c:v>8.1284897665115263E-2</c:v>
                </c:pt>
                <c:pt idx="13">
                  <c:v>5.8263103510385106E-2</c:v>
                </c:pt>
                <c:pt idx="14">
                  <c:v>8.8901950003318131E-2</c:v>
                </c:pt>
                <c:pt idx="15">
                  <c:v>8.5190592205674598E-2</c:v>
                </c:pt>
                <c:pt idx="16">
                  <c:v>0.11163460900395328</c:v>
                </c:pt>
                <c:pt idx="17">
                  <c:v>0.10295107453999086</c:v>
                </c:pt>
                <c:pt idx="18">
                  <c:v>9.329585636144766E-2</c:v>
                </c:pt>
                <c:pt idx="19">
                  <c:v>9.1546825675201893E-2</c:v>
                </c:pt>
                <c:pt idx="20">
                  <c:v>8.1417615440765534E-2</c:v>
                </c:pt>
                <c:pt idx="21">
                  <c:v>6.0571444822584919E-2</c:v>
                </c:pt>
                <c:pt idx="22">
                  <c:v>6.633044830168644E-2</c:v>
                </c:pt>
                <c:pt idx="23">
                  <c:v>8.8262060727862135E-2</c:v>
                </c:pt>
                <c:pt idx="24">
                  <c:v>0.11169148805066054</c:v>
                </c:pt>
                <c:pt idx="25">
                  <c:v>0.11218917970934816</c:v>
                </c:pt>
                <c:pt idx="26">
                  <c:v>6.5448823077725482E-2</c:v>
                </c:pt>
                <c:pt idx="27">
                  <c:v>8.6731066387327305E-2</c:v>
                </c:pt>
                <c:pt idx="28">
                  <c:v>8.9229004521884203E-2</c:v>
                </c:pt>
                <c:pt idx="29">
                  <c:v>7.8355626759695651E-2</c:v>
                </c:pt>
                <c:pt idx="30">
                  <c:v>8.0588129342952453E-2</c:v>
                </c:pt>
                <c:pt idx="31">
                  <c:v>0.11191426431693019</c:v>
                </c:pt>
                <c:pt idx="32">
                  <c:v>0.10052423521381804</c:v>
                </c:pt>
                <c:pt idx="33">
                  <c:v>0.11874448984235042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B6-4E1C-ACB7-8123D8BE51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01068472"/>
        <c:axId val="501070440"/>
      </c:scatterChart>
      <c:valAx>
        <c:axId val="50106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70440"/>
        <c:crosses val="autoZero"/>
        <c:crossBetween val="midCat"/>
      </c:valAx>
      <c:valAx>
        <c:axId val="50107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6847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rgbClr val="00B0F0">
              <a:alpha val="99000"/>
            </a:srgbClr>
          </a:solidFill>
        </a:ln>
        <a:effectLst>
          <a:outerShdw blurRad="50800" dist="50800" dir="5400000" algn="ctr" rotWithShape="0">
            <a:srgbClr val="000000">
              <a:alpha val="93000"/>
            </a:srgbClr>
          </a:outerShdw>
        </a:effectLst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dk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49</xdr:row>
      <xdr:rowOff>19049</xdr:rowOff>
    </xdr:from>
    <xdr:to>
      <xdr:col>9</xdr:col>
      <xdr:colOff>19051</xdr:colOff>
      <xdr:row>69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BD1331D-C58D-4948-951F-A6500411A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13</xdr:row>
      <xdr:rowOff>180975</xdr:rowOff>
    </xdr:from>
    <xdr:to>
      <xdr:col>8</xdr:col>
      <xdr:colOff>838200</xdr:colOff>
      <xdr:row>38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53D9903F-BAF7-4518-93E2-437561AD1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opLeftCell="A25" workbookViewId="0">
      <selection activeCell="I41" sqref="I41"/>
    </sheetView>
  </sheetViews>
  <sheetFormatPr defaultRowHeight="15" x14ac:dyDescent="0.25"/>
  <sheetData>
    <row r="1" spans="1:2" s="213" customFormat="1" ht="26.25" x14ac:dyDescent="0.4">
      <c r="B1" s="213" t="s">
        <v>82</v>
      </c>
    </row>
    <row r="3" spans="1:2" x14ac:dyDescent="0.25">
      <c r="A3" t="s">
        <v>83</v>
      </c>
    </row>
    <row r="4" spans="1:2" x14ac:dyDescent="0.25">
      <c r="A4" t="s">
        <v>84</v>
      </c>
    </row>
    <row r="5" spans="1:2" x14ac:dyDescent="0.25">
      <c r="A5" t="s">
        <v>85</v>
      </c>
    </row>
    <row r="6" spans="1:2" x14ac:dyDescent="0.25">
      <c r="A6" t="s">
        <v>86</v>
      </c>
    </row>
    <row r="7" spans="1:2" x14ac:dyDescent="0.25">
      <c r="A7" t="s">
        <v>87</v>
      </c>
    </row>
    <row r="8" spans="1:2" x14ac:dyDescent="0.25">
      <c r="A8" t="s">
        <v>88</v>
      </c>
    </row>
    <row r="9" spans="1:2" x14ac:dyDescent="0.25">
      <c r="A9" t="s">
        <v>89</v>
      </c>
    </row>
    <row r="10" spans="1:2" x14ac:dyDescent="0.25">
      <c r="A10" t="s">
        <v>90</v>
      </c>
    </row>
    <row r="11" spans="1:2" x14ac:dyDescent="0.25">
      <c r="A11" t="s">
        <v>91</v>
      </c>
    </row>
    <row r="12" spans="1:2" x14ac:dyDescent="0.25">
      <c r="A12" t="s">
        <v>92</v>
      </c>
    </row>
    <row r="13" spans="1:2" x14ac:dyDescent="0.25">
      <c r="A13" t="s">
        <v>93</v>
      </c>
    </row>
    <row r="14" spans="1:2" x14ac:dyDescent="0.25">
      <c r="A14" t="s">
        <v>94</v>
      </c>
    </row>
    <row r="15" spans="1:2" x14ac:dyDescent="0.25">
      <c r="A15" t="s">
        <v>95</v>
      </c>
    </row>
    <row r="16" spans="1:2" x14ac:dyDescent="0.25">
      <c r="A16" t="s">
        <v>96</v>
      </c>
    </row>
    <row r="17" spans="1:4" x14ac:dyDescent="0.25">
      <c r="A17" t="s">
        <v>97</v>
      </c>
    </row>
    <row r="18" spans="1:4" x14ac:dyDescent="0.25">
      <c r="D18" t="s">
        <v>98</v>
      </c>
    </row>
    <row r="19" spans="1:4" x14ac:dyDescent="0.25">
      <c r="D19" t="s">
        <v>99</v>
      </c>
    </row>
    <row r="20" spans="1:4" x14ac:dyDescent="0.25">
      <c r="A20" t="s">
        <v>100</v>
      </c>
    </row>
    <row r="21" spans="1:4" x14ac:dyDescent="0.25">
      <c r="A21" t="s">
        <v>101</v>
      </c>
    </row>
    <row r="22" spans="1:4" x14ac:dyDescent="0.25">
      <c r="A22" t="s">
        <v>102</v>
      </c>
    </row>
    <row r="23" spans="1:4" x14ac:dyDescent="0.25">
      <c r="A23" t="s">
        <v>103</v>
      </c>
    </row>
    <row r="24" spans="1:4" x14ac:dyDescent="0.25">
      <c r="A24" t="s">
        <v>104</v>
      </c>
    </row>
    <row r="25" spans="1:4" x14ac:dyDescent="0.25">
      <c r="A25" t="s">
        <v>105</v>
      </c>
    </row>
    <row r="26" spans="1:4" x14ac:dyDescent="0.25">
      <c r="A26" t="s">
        <v>106</v>
      </c>
    </row>
    <row r="27" spans="1:4" x14ac:dyDescent="0.25">
      <c r="A27" t="s">
        <v>107</v>
      </c>
    </row>
    <row r="28" spans="1:4" x14ac:dyDescent="0.25">
      <c r="A28" t="s">
        <v>108</v>
      </c>
    </row>
    <row r="29" spans="1:4" x14ac:dyDescent="0.25">
      <c r="A29" t="s">
        <v>109</v>
      </c>
    </row>
    <row r="30" spans="1:4" x14ac:dyDescent="0.25">
      <c r="A30" t="s">
        <v>110</v>
      </c>
    </row>
    <row r="31" spans="1:4" x14ac:dyDescent="0.25">
      <c r="A31" t="s">
        <v>111</v>
      </c>
    </row>
    <row r="32" spans="1:4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  <row r="42" spans="1:1" x14ac:dyDescent="0.25">
      <c r="A42" t="s">
        <v>122</v>
      </c>
    </row>
    <row r="43" spans="1:1" x14ac:dyDescent="0.25">
      <c r="A43" t="s">
        <v>123</v>
      </c>
    </row>
    <row r="44" spans="1:1" x14ac:dyDescent="0.25">
      <c r="A44" t="s">
        <v>124</v>
      </c>
    </row>
    <row r="45" spans="1:1" x14ac:dyDescent="0.25">
      <c r="A45" t="s">
        <v>125</v>
      </c>
    </row>
    <row r="46" spans="1:1" x14ac:dyDescent="0.25">
      <c r="A46" t="s">
        <v>126</v>
      </c>
    </row>
    <row r="47" spans="1:1" x14ac:dyDescent="0.25">
      <c r="A47" t="s">
        <v>127</v>
      </c>
    </row>
    <row r="48" spans="1:1" x14ac:dyDescent="0.25">
      <c r="A48" t="s">
        <v>128</v>
      </c>
    </row>
    <row r="50" spans="1:1" x14ac:dyDescent="0.25">
      <c r="A50" t="s">
        <v>129</v>
      </c>
    </row>
    <row r="51" spans="1:1" x14ac:dyDescent="0.25">
      <c r="A51" t="s">
        <v>130</v>
      </c>
    </row>
    <row r="52" spans="1:1" x14ac:dyDescent="0.25">
      <c r="A52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4"/>
  <sheetViews>
    <sheetView topLeftCell="A25" workbookViewId="0">
      <selection activeCell="K38" sqref="K38"/>
    </sheetView>
  </sheetViews>
  <sheetFormatPr defaultRowHeight="15" x14ac:dyDescent="0.25"/>
  <cols>
    <col min="1" max="1" width="1.5703125" customWidth="1"/>
    <col min="2" max="2" width="21.140625" customWidth="1"/>
    <col min="3" max="3" width="27.140625" bestFit="1" customWidth="1"/>
    <col min="4" max="4" width="10.7109375" bestFit="1" customWidth="1"/>
    <col min="5" max="5" width="15.42578125" customWidth="1"/>
    <col min="9" max="9" width="15.85546875" customWidth="1"/>
    <col min="10" max="10" width="12.42578125" customWidth="1"/>
    <col min="11" max="11" width="20.5703125" style="149" bestFit="1" customWidth="1"/>
    <col min="12" max="12" width="23.85546875" customWidth="1"/>
  </cols>
  <sheetData>
    <row r="1" spans="2:12" s="210" customFormat="1" ht="26.25" x14ac:dyDescent="0.4">
      <c r="C1" s="213" t="s">
        <v>60</v>
      </c>
      <c r="K1" s="214"/>
    </row>
    <row r="2" spans="2:12" s="210" customFormat="1" ht="4.5" customHeight="1" x14ac:dyDescent="0.4">
      <c r="C2" s="213"/>
      <c r="K2" s="214"/>
    </row>
    <row r="3" spans="2:12" x14ac:dyDescent="0.25">
      <c r="C3" s="211" t="s">
        <v>23</v>
      </c>
      <c r="D3" s="212">
        <v>43357</v>
      </c>
    </row>
    <row r="4" spans="2:12" ht="8.25" customHeight="1" thickBot="1" x14ac:dyDescent="0.3"/>
    <row r="5" spans="2:12" s="25" customFormat="1" ht="75.75" thickBot="1" x14ac:dyDescent="0.35">
      <c r="B5" s="26" t="s">
        <v>65</v>
      </c>
      <c r="C5" s="30" t="s">
        <v>63</v>
      </c>
      <c r="D5" s="29" t="s">
        <v>0</v>
      </c>
      <c r="E5" s="30" t="s">
        <v>2</v>
      </c>
      <c r="F5" s="29" t="s">
        <v>6</v>
      </c>
      <c r="G5" s="30" t="s">
        <v>5</v>
      </c>
      <c r="H5" s="29" t="s">
        <v>15</v>
      </c>
      <c r="I5" s="202" t="s">
        <v>71</v>
      </c>
      <c r="J5" s="29" t="s">
        <v>67</v>
      </c>
      <c r="K5" s="203" t="s">
        <v>68</v>
      </c>
      <c r="L5" s="33" t="s">
        <v>70</v>
      </c>
    </row>
    <row r="6" spans="2:12" s="109" customFormat="1" ht="11.25" customHeight="1" x14ac:dyDescent="0.3">
      <c r="B6" s="200"/>
      <c r="C6" s="117"/>
      <c r="D6" s="117"/>
      <c r="E6" s="117"/>
      <c r="F6" s="117"/>
      <c r="G6" s="117"/>
      <c r="H6" s="117"/>
      <c r="I6" s="119"/>
      <c r="J6" s="117"/>
      <c r="K6" s="201"/>
      <c r="L6" s="141"/>
    </row>
    <row r="7" spans="2:12" s="158" customFormat="1" ht="18.75" x14ac:dyDescent="0.3">
      <c r="B7" s="183" t="s">
        <v>66</v>
      </c>
      <c r="C7" s="175"/>
      <c r="D7" s="175">
        <f>D9+D13+D17+D24+D20</f>
        <v>0</v>
      </c>
      <c r="E7" s="175"/>
      <c r="F7" s="175"/>
      <c r="G7" s="175"/>
      <c r="H7" s="175"/>
      <c r="I7" s="176">
        <f>I9+I13+I17+I24+I20</f>
        <v>0</v>
      </c>
      <c r="J7" s="176"/>
      <c r="K7" s="177">
        <f>K9+K13+K17+K24+K20</f>
        <v>0</v>
      </c>
      <c r="L7" s="184">
        <f>K7/K$38</f>
        <v>0</v>
      </c>
    </row>
    <row r="8" spans="2:12" s="157" customFormat="1" ht="9.75" customHeight="1" x14ac:dyDescent="0.3">
      <c r="B8" s="185"/>
      <c r="C8" s="155"/>
      <c r="D8" s="155"/>
      <c r="E8" s="155"/>
      <c r="F8" s="155"/>
      <c r="G8" s="155"/>
      <c r="H8" s="155"/>
      <c r="I8" s="156"/>
      <c r="J8" s="156"/>
      <c r="K8" s="160"/>
      <c r="L8" s="186"/>
    </row>
    <row r="9" spans="2:12" s="159" customFormat="1" ht="15.75" x14ac:dyDescent="0.25">
      <c r="B9" s="187"/>
      <c r="C9" s="171" t="s">
        <v>64</v>
      </c>
      <c r="D9" s="171">
        <v>0</v>
      </c>
      <c r="E9" s="171"/>
      <c r="F9" s="171"/>
      <c r="G9" s="171"/>
      <c r="H9" s="171"/>
      <c r="I9" s="172">
        <f>SUM(I10:I11)</f>
        <v>0</v>
      </c>
      <c r="J9" s="172"/>
      <c r="K9" s="173">
        <f>SUM(K10:K11)</f>
        <v>0</v>
      </c>
      <c r="L9" s="188">
        <f>K9/K$38</f>
        <v>0</v>
      </c>
    </row>
    <row r="10" spans="2:12" s="154" customFormat="1" x14ac:dyDescent="0.25">
      <c r="B10" s="189"/>
      <c r="C10" s="152"/>
      <c r="D10" s="163">
        <v>1</v>
      </c>
      <c r="E10" s="163" t="s">
        <v>14</v>
      </c>
      <c r="F10" s="167">
        <v>100000</v>
      </c>
      <c r="G10" s="163">
        <v>0</v>
      </c>
      <c r="H10" s="163">
        <f t="shared" ref="H10" si="0">G10*F10</f>
        <v>0</v>
      </c>
      <c r="I10" s="170">
        <v>0</v>
      </c>
      <c r="J10" s="163">
        <v>1.0500000000000001E-2</v>
      </c>
      <c r="K10" s="168">
        <f t="shared" ref="K10" si="1">H10*J10</f>
        <v>0</v>
      </c>
      <c r="L10" s="190">
        <f>K10/K$38</f>
        <v>0</v>
      </c>
    </row>
    <row r="11" spans="2:12" s="154" customFormat="1" x14ac:dyDescent="0.25">
      <c r="B11" s="189"/>
      <c r="C11" s="152"/>
      <c r="D11" s="163">
        <v>2</v>
      </c>
      <c r="E11" s="163" t="s">
        <v>172</v>
      </c>
      <c r="F11" s="167">
        <v>1000</v>
      </c>
      <c r="G11" s="163">
        <v>0</v>
      </c>
      <c r="H11" s="163">
        <f t="shared" ref="H11" si="2">G11*F11</f>
        <v>0</v>
      </c>
      <c r="I11" s="170">
        <v>0</v>
      </c>
      <c r="J11" s="163">
        <v>0.73980000000000001</v>
      </c>
      <c r="K11" s="168">
        <f t="shared" ref="K11" si="3">H11*J11</f>
        <v>0</v>
      </c>
      <c r="L11" s="190">
        <f>K11/K$38</f>
        <v>0</v>
      </c>
    </row>
    <row r="12" spans="2:12" s="169" customFormat="1" ht="6.75" customHeight="1" x14ac:dyDescent="0.25">
      <c r="B12" s="191"/>
      <c r="C12" s="46"/>
      <c r="D12" s="46"/>
      <c r="E12" s="46"/>
      <c r="F12" s="164"/>
      <c r="G12" s="46"/>
      <c r="H12" s="46"/>
      <c r="I12" s="165"/>
      <c r="J12" s="46"/>
      <c r="K12" s="166"/>
      <c r="L12" s="186"/>
    </row>
    <row r="13" spans="2:12" s="159" customFormat="1" ht="15.75" x14ac:dyDescent="0.25">
      <c r="B13" s="187"/>
      <c r="C13" s="171" t="s">
        <v>61</v>
      </c>
      <c r="D13" s="174">
        <v>0</v>
      </c>
      <c r="E13" s="171"/>
      <c r="F13" s="171"/>
      <c r="G13" s="171"/>
      <c r="H13" s="171"/>
      <c r="I13" s="172">
        <f>SUM(I14:I15)</f>
        <v>0</v>
      </c>
      <c r="J13" s="172"/>
      <c r="K13" s="173">
        <f>SUM(K14:K15)</f>
        <v>0</v>
      </c>
      <c r="L13" s="188">
        <f>K13/K$38</f>
        <v>0</v>
      </c>
    </row>
    <row r="14" spans="2:12" s="159" customFormat="1" ht="14.25" customHeight="1" x14ac:dyDescent="0.25">
      <c r="B14" s="187"/>
      <c r="C14" s="274"/>
      <c r="D14" s="275">
        <v>3</v>
      </c>
      <c r="E14" s="163" t="s">
        <v>151</v>
      </c>
      <c r="F14" s="163">
        <v>100</v>
      </c>
      <c r="G14" s="163">
        <v>0</v>
      </c>
      <c r="H14" s="163">
        <f t="shared" ref="H14" si="4">G14*F14</f>
        <v>0</v>
      </c>
      <c r="I14" s="170">
        <v>0</v>
      </c>
      <c r="J14" s="163">
        <v>1.69</v>
      </c>
      <c r="K14" s="168">
        <f>H14*J14</f>
        <v>0</v>
      </c>
      <c r="L14" s="190">
        <f>K14/K$38</f>
        <v>0</v>
      </c>
    </row>
    <row r="15" spans="2:12" s="154" customFormat="1" ht="30" x14ac:dyDescent="0.25">
      <c r="B15" s="189"/>
      <c r="C15" s="152"/>
      <c r="D15" s="275">
        <v>4</v>
      </c>
      <c r="E15" s="163" t="s">
        <v>175</v>
      </c>
      <c r="F15" s="163">
        <v>10</v>
      </c>
      <c r="G15" s="163">
        <v>0</v>
      </c>
      <c r="H15" s="163">
        <f t="shared" ref="H15" si="5">G15*F15</f>
        <v>0</v>
      </c>
      <c r="I15" s="170">
        <v>0</v>
      </c>
      <c r="J15" s="163">
        <v>215.36</v>
      </c>
      <c r="K15" s="168">
        <f>H15*J15</f>
        <v>0</v>
      </c>
      <c r="L15" s="190">
        <f>K15/K$38</f>
        <v>0</v>
      </c>
    </row>
    <row r="16" spans="2:12" s="154" customFormat="1" ht="8.25" customHeight="1" x14ac:dyDescent="0.25">
      <c r="B16" s="189"/>
      <c r="C16" s="152"/>
      <c r="D16" s="152"/>
      <c r="E16" s="152"/>
      <c r="F16" s="152"/>
      <c r="G16" s="152"/>
      <c r="H16" s="152"/>
      <c r="I16" s="153"/>
      <c r="J16" s="152"/>
      <c r="K16" s="161"/>
      <c r="L16" s="192"/>
    </row>
    <row r="17" spans="2:12" s="159" customFormat="1" ht="15.75" x14ac:dyDescent="0.25">
      <c r="B17" s="187"/>
      <c r="C17" s="171" t="s">
        <v>136</v>
      </c>
      <c r="D17" s="174">
        <v>0</v>
      </c>
      <c r="E17" s="171"/>
      <c r="F17" s="171"/>
      <c r="G17" s="171"/>
      <c r="H17" s="171"/>
      <c r="I17" s="172">
        <f>SUM(I18:I19)</f>
        <v>0</v>
      </c>
      <c r="J17" s="171"/>
      <c r="K17" s="173">
        <f>SUM(K18:K19)</f>
        <v>0</v>
      </c>
      <c r="L17" s="188">
        <f>K17/K$38</f>
        <v>0</v>
      </c>
    </row>
    <row r="18" spans="2:12" s="154" customFormat="1" ht="15" customHeight="1" x14ac:dyDescent="0.25">
      <c r="B18" s="189"/>
      <c r="C18" s="152"/>
      <c r="D18" s="163">
        <v>5</v>
      </c>
      <c r="E18" s="163" t="s">
        <v>135</v>
      </c>
      <c r="F18" s="163">
        <v>100</v>
      </c>
      <c r="G18" s="163">
        <v>0</v>
      </c>
      <c r="H18" s="163">
        <f t="shared" ref="H18" si="6">G18*F18</f>
        <v>0</v>
      </c>
      <c r="I18" s="170">
        <v>0</v>
      </c>
      <c r="J18" s="163">
        <v>149.4</v>
      </c>
      <c r="K18" s="168">
        <f>H18*J18</f>
        <v>0</v>
      </c>
      <c r="L18" s="190">
        <f>K18/K$38</f>
        <v>0</v>
      </c>
    </row>
    <row r="19" spans="2:12" s="154" customFormat="1" x14ac:dyDescent="0.25">
      <c r="B19" s="189"/>
      <c r="C19" s="152"/>
      <c r="D19" s="163"/>
      <c r="E19" s="163"/>
      <c r="F19" s="163"/>
      <c r="G19" s="163"/>
      <c r="H19" s="163"/>
      <c r="I19" s="170"/>
      <c r="J19" s="163"/>
      <c r="K19" s="168"/>
      <c r="L19" s="190"/>
    </row>
    <row r="20" spans="2:12" s="209" customFormat="1" ht="15.75" x14ac:dyDescent="0.25">
      <c r="B20" s="204"/>
      <c r="C20" s="205" t="s">
        <v>162</v>
      </c>
      <c r="D20" s="206">
        <v>0</v>
      </c>
      <c r="E20" s="205"/>
      <c r="F20" s="174"/>
      <c r="G20" s="174"/>
      <c r="H20" s="174"/>
      <c r="I20" s="207">
        <f>SUM(I21:I23)</f>
        <v>0</v>
      </c>
      <c r="J20" s="174"/>
      <c r="K20" s="208">
        <f>SUM(K21:K23)</f>
        <v>0</v>
      </c>
      <c r="L20" s="188">
        <f>K20/K$38</f>
        <v>0</v>
      </c>
    </row>
    <row r="21" spans="2:12" s="154" customFormat="1" x14ac:dyDescent="0.25">
      <c r="B21" s="189"/>
      <c r="C21" s="152"/>
      <c r="D21" s="163">
        <v>6</v>
      </c>
      <c r="E21" s="163" t="s">
        <v>160</v>
      </c>
      <c r="F21" s="163">
        <v>1</v>
      </c>
      <c r="G21" s="163">
        <v>0</v>
      </c>
      <c r="H21" s="163">
        <f t="shared" ref="H21" si="7">G21*F21</f>
        <v>0</v>
      </c>
      <c r="I21" s="170">
        <v>0</v>
      </c>
      <c r="J21" s="163">
        <v>4825</v>
      </c>
      <c r="K21" s="168">
        <f>H21*J21</f>
        <v>0</v>
      </c>
      <c r="L21" s="190">
        <f>K21/K$38</f>
        <v>0</v>
      </c>
    </row>
    <row r="22" spans="2:12" s="154" customFormat="1" x14ac:dyDescent="0.25">
      <c r="B22" s="189"/>
      <c r="C22" s="152"/>
      <c r="D22" s="163"/>
      <c r="E22" s="163"/>
      <c r="F22" s="163"/>
      <c r="G22" s="163"/>
      <c r="H22" s="163"/>
      <c r="I22" s="170"/>
      <c r="J22" s="163"/>
      <c r="K22" s="168"/>
      <c r="L22" s="190"/>
    </row>
    <row r="23" spans="2:12" s="154" customFormat="1" x14ac:dyDescent="0.25">
      <c r="B23" s="189"/>
      <c r="C23" s="152"/>
      <c r="D23" s="163"/>
      <c r="E23" s="163"/>
      <c r="F23" s="163"/>
      <c r="G23" s="163"/>
      <c r="H23" s="163"/>
      <c r="I23" s="170"/>
      <c r="J23" s="163"/>
      <c r="K23" s="168"/>
      <c r="L23" s="190"/>
    </row>
    <row r="24" spans="2:12" s="209" customFormat="1" ht="31.5" x14ac:dyDescent="0.25">
      <c r="B24" s="204"/>
      <c r="C24" s="205" t="s">
        <v>62</v>
      </c>
      <c r="D24" s="206">
        <v>0</v>
      </c>
      <c r="E24" s="205"/>
      <c r="F24" s="174"/>
      <c r="G24" s="174"/>
      <c r="H24" s="174"/>
      <c r="I24" s="207">
        <f>SUM(I25:I28)</f>
        <v>0</v>
      </c>
      <c r="J24" s="174"/>
      <c r="K24" s="208">
        <f>SUM(K25:K28)</f>
        <v>0</v>
      </c>
      <c r="L24" s="188">
        <f>K24/K$38</f>
        <v>0</v>
      </c>
    </row>
    <row r="25" spans="2:12" s="154" customFormat="1" x14ac:dyDescent="0.25">
      <c r="B25" s="189"/>
      <c r="C25" s="152"/>
      <c r="D25" s="163"/>
      <c r="E25" s="163"/>
      <c r="F25" s="163"/>
      <c r="G25" s="163"/>
      <c r="H25" s="163"/>
      <c r="I25" s="170"/>
      <c r="J25" s="163"/>
      <c r="K25" s="168"/>
      <c r="L25" s="190"/>
    </row>
    <row r="26" spans="2:12" s="154" customFormat="1" x14ac:dyDescent="0.25">
      <c r="B26" s="189"/>
      <c r="C26" s="152"/>
      <c r="D26" s="163"/>
      <c r="E26" s="163"/>
      <c r="F26" s="163"/>
      <c r="G26" s="163"/>
      <c r="H26" s="163"/>
      <c r="I26" s="170"/>
      <c r="J26" s="163"/>
      <c r="K26" s="168"/>
      <c r="L26" s="190"/>
    </row>
    <row r="27" spans="2:12" s="154" customFormat="1" x14ac:dyDescent="0.25">
      <c r="B27" s="189"/>
      <c r="C27" s="152"/>
      <c r="D27" s="163"/>
      <c r="E27" s="163"/>
      <c r="F27" s="163"/>
      <c r="G27" s="163"/>
      <c r="H27" s="163"/>
      <c r="I27" s="170"/>
      <c r="J27" s="163"/>
      <c r="K27" s="168"/>
      <c r="L27" s="190"/>
    </row>
    <row r="28" spans="2:12" s="154" customFormat="1" x14ac:dyDescent="0.25">
      <c r="B28" s="189"/>
      <c r="C28" s="152"/>
      <c r="D28" s="163"/>
      <c r="E28" s="163"/>
      <c r="F28" s="163"/>
      <c r="G28" s="163"/>
      <c r="H28" s="163"/>
      <c r="I28" s="170"/>
      <c r="J28" s="163"/>
      <c r="K28" s="168"/>
      <c r="L28" s="190"/>
    </row>
    <row r="29" spans="2:12" s="154" customFormat="1" ht="8.25" customHeight="1" x14ac:dyDescent="0.25">
      <c r="B29" s="189"/>
      <c r="C29" s="152"/>
      <c r="D29" s="46"/>
      <c r="E29" s="46"/>
      <c r="F29" s="46"/>
      <c r="G29" s="46"/>
      <c r="H29" s="46"/>
      <c r="I29" s="227"/>
      <c r="J29" s="46"/>
      <c r="K29" s="166"/>
      <c r="L29" s="186"/>
    </row>
    <row r="30" spans="2:12" s="181" customFormat="1" ht="18.75" x14ac:dyDescent="0.3">
      <c r="B30" s="194" t="s">
        <v>133</v>
      </c>
      <c r="C30" s="178"/>
      <c r="D30" s="178"/>
      <c r="E30" s="178"/>
      <c r="F30" s="178"/>
      <c r="G30" s="178"/>
      <c r="H30" s="178"/>
      <c r="I30" s="179">
        <v>0</v>
      </c>
      <c r="J30" s="178"/>
      <c r="K30" s="180">
        <f>ДДС!K47-'Модельный портфель'!K33</f>
        <v>-176374.09999999963</v>
      </c>
      <c r="L30" s="184">
        <f>K30/K$38</f>
        <v>-4.6953178522653759E-2</v>
      </c>
    </row>
    <row r="31" spans="2:12" s="154" customFormat="1" x14ac:dyDescent="0.25">
      <c r="B31" s="189"/>
      <c r="C31" s="152"/>
      <c r="D31" s="46"/>
      <c r="E31" s="46"/>
      <c r="F31" s="46"/>
      <c r="G31" s="46"/>
      <c r="H31" s="46"/>
      <c r="I31" s="227"/>
      <c r="J31" s="46"/>
      <c r="K31" s="166"/>
      <c r="L31" s="186"/>
    </row>
    <row r="32" spans="2:12" s="151" customFormat="1" ht="6.75" customHeight="1" x14ac:dyDescent="0.25">
      <c r="B32" s="193"/>
      <c r="C32" s="150"/>
      <c r="D32" s="150"/>
      <c r="E32" s="150"/>
      <c r="F32" s="150"/>
      <c r="G32" s="150"/>
      <c r="H32" s="150"/>
      <c r="I32" s="150"/>
      <c r="J32" s="150"/>
      <c r="K32" s="162"/>
      <c r="L32" s="192"/>
    </row>
    <row r="33" spans="2:12" s="181" customFormat="1" ht="18.75" x14ac:dyDescent="0.3">
      <c r="B33" s="194" t="s">
        <v>132</v>
      </c>
      <c r="C33" s="178"/>
      <c r="D33" s="178"/>
      <c r="E33" s="178"/>
      <c r="F33" s="178"/>
      <c r="G33" s="178"/>
      <c r="H33" s="178"/>
      <c r="I33" s="179">
        <f>Дивиденды!M22+Дивиденды!M48</f>
        <v>0</v>
      </c>
      <c r="J33" s="178"/>
      <c r="K33" s="180">
        <f>Дивиденды!K22+Дивиденды!K48</f>
        <v>0</v>
      </c>
      <c r="L33" s="184">
        <f>K33/K$38</f>
        <v>0</v>
      </c>
    </row>
    <row r="34" spans="2:12" s="181" customFormat="1" ht="18.75" x14ac:dyDescent="0.3">
      <c r="B34" s="385"/>
      <c r="C34" s="386"/>
      <c r="D34" s="386"/>
      <c r="E34" s="386"/>
      <c r="F34" s="386"/>
      <c r="G34" s="386"/>
      <c r="H34" s="386"/>
      <c r="I34" s="387"/>
      <c r="J34" s="386"/>
      <c r="K34" s="388"/>
      <c r="L34" s="389"/>
    </row>
    <row r="35" spans="2:12" s="181" customFormat="1" ht="18.75" x14ac:dyDescent="0.3">
      <c r="B35" s="390" t="s">
        <v>186</v>
      </c>
      <c r="C35" s="391"/>
      <c r="D35" s="391">
        <v>1</v>
      </c>
      <c r="E35" s="391"/>
      <c r="F35" s="391"/>
      <c r="G35" s="391"/>
      <c r="H35" s="391"/>
      <c r="I35" s="392">
        <f>I36</f>
        <v>1</v>
      </c>
      <c r="J35" s="391"/>
      <c r="K35" s="393">
        <f>Дивиденды!K24+Дивиденды!K50</f>
        <v>0</v>
      </c>
      <c r="L35" s="394">
        <f>K35/K$38</f>
        <v>0</v>
      </c>
    </row>
    <row r="36" spans="2:12" s="181" customFormat="1" ht="30" customHeight="1" x14ac:dyDescent="0.3">
      <c r="B36" s="385"/>
      <c r="C36" s="386"/>
      <c r="D36" s="395">
        <v>1</v>
      </c>
      <c r="E36" s="396" t="s">
        <v>175</v>
      </c>
      <c r="F36" s="396">
        <v>10</v>
      </c>
      <c r="G36" s="396">
        <v>-1480</v>
      </c>
      <c r="H36" s="396">
        <f t="shared" ref="H36" si="8">G36*F36</f>
        <v>-14800</v>
      </c>
      <c r="I36" s="397">
        <v>1</v>
      </c>
      <c r="J36" s="396">
        <v>188.71</v>
      </c>
      <c r="K36" s="398">
        <f>-H36*(227.2184+(227.2184-J36))</f>
        <v>3932756.6400000006</v>
      </c>
      <c r="L36" s="399">
        <f>K36/K$38</f>
        <v>1.0469531785226538</v>
      </c>
    </row>
    <row r="37" spans="2:12" s="181" customFormat="1" ht="18.75" x14ac:dyDescent="0.3">
      <c r="B37" s="385"/>
      <c r="C37" s="386"/>
      <c r="D37" s="386"/>
      <c r="E37" s="386"/>
      <c r="F37" s="386"/>
      <c r="G37" s="386"/>
      <c r="H37" s="386"/>
      <c r="I37" s="387"/>
      <c r="J37" s="386"/>
      <c r="K37" s="388"/>
      <c r="L37" s="389"/>
    </row>
    <row r="38" spans="2:12" s="182" customFormat="1" ht="21.75" thickBot="1" x14ac:dyDescent="0.4">
      <c r="B38" s="195" t="s">
        <v>69</v>
      </c>
      <c r="C38" s="196"/>
      <c r="D38" s="196">
        <f>D24+D17+D13+D9+D20+D35</f>
        <v>1</v>
      </c>
      <c r="E38" s="196"/>
      <c r="F38" s="196"/>
      <c r="G38" s="196"/>
      <c r="H38" s="196"/>
      <c r="I38" s="197">
        <f>I33+I7+I30+I35</f>
        <v>1</v>
      </c>
      <c r="J38" s="196"/>
      <c r="K38" s="198">
        <f>K33+K7+K30+K36</f>
        <v>3756382.540000001</v>
      </c>
      <c r="L38" s="199">
        <f>K38/K$38</f>
        <v>1</v>
      </c>
    </row>
    <row r="41" spans="2:12" x14ac:dyDescent="0.25">
      <c r="B41" t="s">
        <v>72</v>
      </c>
    </row>
    <row r="42" spans="2:12" x14ac:dyDescent="0.25">
      <c r="B42" t="s">
        <v>73</v>
      </c>
    </row>
    <row r="43" spans="2:12" x14ac:dyDescent="0.25">
      <c r="B43" t="s">
        <v>134</v>
      </c>
    </row>
    <row r="44" spans="2:12" x14ac:dyDescent="0.25">
      <c r="B44" t="s">
        <v>148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8"/>
  <sheetViews>
    <sheetView topLeftCell="C1" workbookViewId="0">
      <pane ySplit="5" topLeftCell="A18" activePane="bottomLeft" state="frozen"/>
      <selection pane="bottomLeft" activeCell="L39" sqref="L39"/>
    </sheetView>
  </sheetViews>
  <sheetFormatPr defaultRowHeight="15" x14ac:dyDescent="0.25"/>
  <cols>
    <col min="1" max="1" width="2" style="1" customWidth="1"/>
    <col min="2" max="2" width="7.42578125" style="1" customWidth="1"/>
    <col min="3" max="3" width="10.42578125" style="2" customWidth="1"/>
    <col min="4" max="4" width="17" style="1" customWidth="1"/>
    <col min="5" max="5" width="12.85546875" style="1" bestFit="1" customWidth="1"/>
    <col min="6" max="6" width="9.140625" style="288"/>
    <col min="7" max="7" width="14" style="1" customWidth="1"/>
    <col min="8" max="8" width="12.85546875" style="1" customWidth="1"/>
    <col min="9" max="9" width="16" style="1" customWidth="1"/>
    <col min="10" max="10" width="13.85546875" style="3" customWidth="1"/>
    <col min="11" max="11" width="15.85546875" style="3" customWidth="1"/>
    <col min="12" max="12" width="62.85546875" style="1" customWidth="1"/>
    <col min="13" max="16384" width="9.140625" style="1"/>
  </cols>
  <sheetData>
    <row r="1" spans="2:12" s="22" customFormat="1" ht="26.25" x14ac:dyDescent="0.4">
      <c r="C1" s="114" t="s">
        <v>22</v>
      </c>
      <c r="F1" s="287"/>
      <c r="J1" s="24"/>
      <c r="K1" s="24"/>
    </row>
    <row r="2" spans="2:12" s="22" customFormat="1" ht="6.75" customHeight="1" x14ac:dyDescent="0.4">
      <c r="C2" s="23"/>
      <c r="F2" s="287"/>
      <c r="J2" s="24"/>
      <c r="K2" s="24"/>
    </row>
    <row r="3" spans="2:12" x14ac:dyDescent="0.25">
      <c r="C3" s="95" t="s">
        <v>23</v>
      </c>
      <c r="D3" s="96">
        <f>'Модельный портфель'!D3</f>
        <v>43357</v>
      </c>
      <c r="I3" s="3"/>
      <c r="L3" s="52"/>
    </row>
    <row r="4" spans="2:12" ht="10.5" customHeight="1" thickBot="1" x14ac:dyDescent="0.3"/>
    <row r="5" spans="2:12" s="25" customFormat="1" ht="57" thickBot="1" x14ac:dyDescent="0.35">
      <c r="B5" s="26" t="s">
        <v>0</v>
      </c>
      <c r="C5" s="27" t="s">
        <v>1</v>
      </c>
      <c r="D5" s="28" t="s">
        <v>2</v>
      </c>
      <c r="E5" s="29" t="s">
        <v>3</v>
      </c>
      <c r="F5" s="289" t="s">
        <v>4</v>
      </c>
      <c r="G5" s="29" t="s">
        <v>6</v>
      </c>
      <c r="H5" s="30" t="s">
        <v>5</v>
      </c>
      <c r="I5" s="30" t="s">
        <v>15</v>
      </c>
      <c r="J5" s="31" t="s">
        <v>16</v>
      </c>
      <c r="K5" s="32" t="s">
        <v>17</v>
      </c>
      <c r="L5" s="33" t="s">
        <v>7</v>
      </c>
    </row>
    <row r="6" spans="2:12" s="4" customFormat="1" ht="45" x14ac:dyDescent="0.25">
      <c r="B6" s="85">
        <v>1</v>
      </c>
      <c r="C6" s="86">
        <v>43100</v>
      </c>
      <c r="D6" s="87" t="s">
        <v>8</v>
      </c>
      <c r="E6" s="87" t="s">
        <v>18</v>
      </c>
      <c r="F6" s="290"/>
      <c r="G6" s="87"/>
      <c r="H6" s="87"/>
      <c r="I6" s="87"/>
      <c r="J6" s="88"/>
      <c r="K6" s="88">
        <f>SUM(J7:J13)</f>
        <v>3251220.5</v>
      </c>
      <c r="L6" s="89" t="s">
        <v>155</v>
      </c>
    </row>
    <row r="7" spans="2:12" ht="90" customHeight="1" x14ac:dyDescent="0.25">
      <c r="B7" s="5">
        <v>2</v>
      </c>
      <c r="C7" s="285">
        <v>43100</v>
      </c>
      <c r="D7" s="297" t="s">
        <v>10</v>
      </c>
      <c r="E7" s="7" t="s">
        <v>9</v>
      </c>
      <c r="F7" s="291">
        <v>0.16205</v>
      </c>
      <c r="G7" s="7">
        <v>10000</v>
      </c>
      <c r="H7" s="7">
        <v>161</v>
      </c>
      <c r="I7" s="7">
        <f>H7*G7</f>
        <v>1610000</v>
      </c>
      <c r="J7" s="8">
        <f>I7*F7</f>
        <v>260900.5</v>
      </c>
      <c r="K7" s="8"/>
      <c r="L7" s="9" t="s">
        <v>142</v>
      </c>
    </row>
    <row r="8" spans="2:12" ht="90" customHeight="1" x14ac:dyDescent="0.25">
      <c r="B8" s="5">
        <v>3</v>
      </c>
      <c r="C8" s="286">
        <v>43100</v>
      </c>
      <c r="D8" s="297" t="s">
        <v>13</v>
      </c>
      <c r="E8" s="7" t="s">
        <v>9</v>
      </c>
      <c r="F8" s="291">
        <v>0.35599999999999998</v>
      </c>
      <c r="G8" s="10">
        <v>1000</v>
      </c>
      <c r="H8" s="7">
        <v>1494</v>
      </c>
      <c r="I8" s="7">
        <f t="shared" ref="I8:I15" si="0">H8*G8</f>
        <v>1494000</v>
      </c>
      <c r="J8" s="8">
        <f t="shared" ref="J8:J13" si="1">I8*F8</f>
        <v>531864</v>
      </c>
      <c r="K8" s="8"/>
      <c r="L8" s="9" t="s">
        <v>141</v>
      </c>
    </row>
    <row r="9" spans="2:12" ht="90" customHeight="1" x14ac:dyDescent="0.25">
      <c r="B9" s="5">
        <v>4</v>
      </c>
      <c r="C9" s="285">
        <v>43100</v>
      </c>
      <c r="D9" s="297" t="s">
        <v>14</v>
      </c>
      <c r="E9" s="7" t="s">
        <v>9</v>
      </c>
      <c r="F9" s="291">
        <v>1.1979999999999999E-2</v>
      </c>
      <c r="G9" s="7">
        <v>100000</v>
      </c>
      <c r="H9" s="7">
        <v>180</v>
      </c>
      <c r="I9" s="7">
        <f t="shared" si="0"/>
        <v>18000000</v>
      </c>
      <c r="J9" s="8">
        <f t="shared" si="1"/>
        <v>215640</v>
      </c>
      <c r="K9" s="8"/>
      <c r="L9" s="9" t="s">
        <v>143</v>
      </c>
    </row>
    <row r="10" spans="2:12" ht="90" customHeight="1" x14ac:dyDescent="0.25">
      <c r="B10" s="5">
        <v>5</v>
      </c>
      <c r="C10" s="286">
        <v>43100</v>
      </c>
      <c r="D10" s="297" t="s">
        <v>135</v>
      </c>
      <c r="E10" s="7" t="s">
        <v>9</v>
      </c>
      <c r="F10" s="291">
        <v>138.44999999999999</v>
      </c>
      <c r="G10" s="7">
        <v>100</v>
      </c>
      <c r="H10" s="7">
        <v>57</v>
      </c>
      <c r="I10" s="7">
        <f t="shared" si="0"/>
        <v>5700</v>
      </c>
      <c r="J10" s="8">
        <f t="shared" si="1"/>
        <v>789164.99999999988</v>
      </c>
      <c r="K10" s="8"/>
      <c r="L10" s="9" t="s">
        <v>144</v>
      </c>
    </row>
    <row r="11" spans="2:12" ht="90" customHeight="1" x14ac:dyDescent="0.25">
      <c r="B11" s="5">
        <v>6</v>
      </c>
      <c r="C11" s="285">
        <v>43100</v>
      </c>
      <c r="D11" s="297" t="s">
        <v>12</v>
      </c>
      <c r="E11" s="7" t="s">
        <v>9</v>
      </c>
      <c r="F11" s="291">
        <v>132.05000000000001</v>
      </c>
      <c r="G11" s="7">
        <v>10</v>
      </c>
      <c r="H11" s="7">
        <v>267</v>
      </c>
      <c r="I11" s="7">
        <f t="shared" si="0"/>
        <v>2670</v>
      </c>
      <c r="J11" s="8">
        <f t="shared" si="1"/>
        <v>352573.50000000006</v>
      </c>
      <c r="K11" s="8"/>
      <c r="L11" s="9" t="s">
        <v>145</v>
      </c>
    </row>
    <row r="12" spans="2:12" ht="90" customHeight="1" x14ac:dyDescent="0.25">
      <c r="B12" s="5">
        <v>7</v>
      </c>
      <c r="C12" s="286">
        <v>43100</v>
      </c>
      <c r="D12" s="297" t="s">
        <v>11</v>
      </c>
      <c r="E12" s="7" t="s">
        <v>9</v>
      </c>
      <c r="F12" s="291">
        <v>147.75</v>
      </c>
      <c r="G12" s="7">
        <v>1</v>
      </c>
      <c r="H12" s="7">
        <v>1988</v>
      </c>
      <c r="I12" s="7">
        <f t="shared" si="0"/>
        <v>1988</v>
      </c>
      <c r="J12" s="8">
        <f t="shared" si="1"/>
        <v>293727</v>
      </c>
      <c r="K12" s="8"/>
      <c r="L12" s="9" t="s">
        <v>146</v>
      </c>
    </row>
    <row r="13" spans="2:12" ht="90" customHeight="1" x14ac:dyDescent="0.25">
      <c r="B13" s="5">
        <v>8</v>
      </c>
      <c r="C13" s="285">
        <v>43100</v>
      </c>
      <c r="D13" s="297" t="s">
        <v>137</v>
      </c>
      <c r="E13" s="7" t="s">
        <v>9</v>
      </c>
      <c r="F13" s="291">
        <v>40.549999999999997</v>
      </c>
      <c r="G13" s="7">
        <v>10</v>
      </c>
      <c r="H13" s="7">
        <v>1991</v>
      </c>
      <c r="I13" s="7">
        <f t="shared" si="0"/>
        <v>19910</v>
      </c>
      <c r="J13" s="8">
        <f t="shared" si="1"/>
        <v>807350.5</v>
      </c>
      <c r="K13" s="8"/>
      <c r="L13" s="9" t="s">
        <v>147</v>
      </c>
    </row>
    <row r="14" spans="2:12" ht="45" x14ac:dyDescent="0.25">
      <c r="B14" s="11">
        <v>9</v>
      </c>
      <c r="C14" s="12">
        <v>43104</v>
      </c>
      <c r="D14" s="13" t="s">
        <v>10</v>
      </c>
      <c r="E14" s="13" t="s">
        <v>152</v>
      </c>
      <c r="F14" s="13">
        <v>0.1633</v>
      </c>
      <c r="G14" s="14">
        <v>10000</v>
      </c>
      <c r="H14" s="13">
        <v>161</v>
      </c>
      <c r="I14" s="13">
        <f t="shared" si="0"/>
        <v>1610000</v>
      </c>
      <c r="J14" s="15"/>
      <c r="K14" s="15">
        <f t="shared" ref="K14" si="2">I14*F14</f>
        <v>262913</v>
      </c>
      <c r="L14" s="283" t="s">
        <v>153</v>
      </c>
    </row>
    <row r="15" spans="2:12" ht="90" x14ac:dyDescent="0.25">
      <c r="B15" s="5">
        <v>10</v>
      </c>
      <c r="C15" s="6">
        <v>43104</v>
      </c>
      <c r="D15" s="7" t="s">
        <v>151</v>
      </c>
      <c r="E15" s="7" t="s">
        <v>9</v>
      </c>
      <c r="F15" s="7">
        <v>2.1</v>
      </c>
      <c r="G15" s="7">
        <v>100</v>
      </c>
      <c r="H15" s="7">
        <v>1252</v>
      </c>
      <c r="I15" s="7">
        <f t="shared" si="0"/>
        <v>125200</v>
      </c>
      <c r="J15" s="8">
        <f t="shared" ref="J15" si="3">I15*F15</f>
        <v>262920</v>
      </c>
      <c r="K15" s="8"/>
      <c r="L15" s="9" t="s">
        <v>154</v>
      </c>
    </row>
    <row r="16" spans="2:12" ht="75" x14ac:dyDescent="0.25">
      <c r="B16" s="11">
        <v>11</v>
      </c>
      <c r="C16" s="12">
        <v>43117</v>
      </c>
      <c r="D16" s="13" t="s">
        <v>137</v>
      </c>
      <c r="E16" s="13" t="s">
        <v>152</v>
      </c>
      <c r="F16" s="13">
        <v>41.32</v>
      </c>
      <c r="G16" s="14">
        <v>10</v>
      </c>
      <c r="H16" s="13">
        <v>1195</v>
      </c>
      <c r="I16" s="13">
        <f t="shared" ref="I16:I17" si="4">H16*G16</f>
        <v>11950</v>
      </c>
      <c r="J16" s="15"/>
      <c r="K16" s="15">
        <f t="shared" ref="K16" si="5">I16*F16</f>
        <v>493774</v>
      </c>
      <c r="L16" s="283" t="s">
        <v>157</v>
      </c>
    </row>
    <row r="17" spans="2:12" ht="105" x14ac:dyDescent="0.25">
      <c r="B17" s="5">
        <v>12</v>
      </c>
      <c r="C17" s="6">
        <v>43117</v>
      </c>
      <c r="D17" s="7" t="s">
        <v>159</v>
      </c>
      <c r="E17" s="7" t="s">
        <v>9</v>
      </c>
      <c r="F17" s="7">
        <v>0.1048</v>
      </c>
      <c r="G17" s="7">
        <v>10000</v>
      </c>
      <c r="H17" s="7">
        <v>471</v>
      </c>
      <c r="I17" s="7">
        <f t="shared" si="4"/>
        <v>4710000</v>
      </c>
      <c r="J17" s="8">
        <f t="shared" ref="J17" si="6">I17*F17</f>
        <v>493608</v>
      </c>
      <c r="K17" s="8"/>
      <c r="L17" s="9" t="s">
        <v>158</v>
      </c>
    </row>
    <row r="18" spans="2:12" ht="60" x14ac:dyDescent="0.25">
      <c r="B18" s="11">
        <v>13</v>
      </c>
      <c r="C18" s="12">
        <v>43147</v>
      </c>
      <c r="D18" s="13" t="s">
        <v>137</v>
      </c>
      <c r="E18" s="13" t="s">
        <v>152</v>
      </c>
      <c r="F18" s="13">
        <v>41.13</v>
      </c>
      <c r="G18" s="14">
        <v>10</v>
      </c>
      <c r="H18" s="13">
        <v>796</v>
      </c>
      <c r="I18" s="13">
        <f t="shared" ref="I18:I19" si="7">H18*G18</f>
        <v>7960</v>
      </c>
      <c r="J18" s="15"/>
      <c r="K18" s="15">
        <f t="shared" ref="K18" si="8">I18*F18</f>
        <v>327394.80000000005</v>
      </c>
      <c r="L18" s="283" t="s">
        <v>168</v>
      </c>
    </row>
    <row r="19" spans="2:12" ht="90" x14ac:dyDescent="0.25">
      <c r="B19" s="5">
        <v>14</v>
      </c>
      <c r="C19" s="6">
        <v>43147</v>
      </c>
      <c r="D19" s="7" t="s">
        <v>160</v>
      </c>
      <c r="E19" s="7" t="s">
        <v>9</v>
      </c>
      <c r="F19" s="7">
        <v>4670</v>
      </c>
      <c r="G19" s="7">
        <v>1</v>
      </c>
      <c r="H19" s="7">
        <v>70</v>
      </c>
      <c r="I19" s="7">
        <f t="shared" si="7"/>
        <v>70</v>
      </c>
      <c r="J19" s="8">
        <f t="shared" ref="J19" si="9">I19*F19</f>
        <v>326900</v>
      </c>
      <c r="K19" s="8"/>
      <c r="L19" s="9" t="s">
        <v>161</v>
      </c>
    </row>
    <row r="20" spans="2:12" ht="60" x14ac:dyDescent="0.25">
      <c r="B20" s="11">
        <v>15</v>
      </c>
      <c r="C20" s="12">
        <v>43151</v>
      </c>
      <c r="D20" s="13" t="s">
        <v>12</v>
      </c>
      <c r="E20" s="13" t="s">
        <v>152</v>
      </c>
      <c r="F20" s="13">
        <v>143.85</v>
      </c>
      <c r="G20" s="14">
        <v>10</v>
      </c>
      <c r="H20" s="13">
        <v>267</v>
      </c>
      <c r="I20" s="13">
        <f t="shared" ref="I20" si="10">H20*G20</f>
        <v>2670</v>
      </c>
      <c r="J20" s="15"/>
      <c r="K20" s="15">
        <f t="shared" ref="K20" si="11">I20*F20</f>
        <v>384079.5</v>
      </c>
      <c r="L20" s="283" t="s">
        <v>163</v>
      </c>
    </row>
    <row r="21" spans="2:12" ht="60" x14ac:dyDescent="0.25">
      <c r="B21" s="11">
        <v>15</v>
      </c>
      <c r="C21" s="12">
        <v>43151</v>
      </c>
      <c r="D21" s="13" t="s">
        <v>11</v>
      </c>
      <c r="E21" s="13" t="s">
        <v>152</v>
      </c>
      <c r="F21" s="13">
        <v>143.4</v>
      </c>
      <c r="G21" s="14">
        <v>1</v>
      </c>
      <c r="H21" s="13">
        <v>1988</v>
      </c>
      <c r="I21" s="13">
        <f t="shared" ref="I21:I22" si="12">H21*G21</f>
        <v>1988</v>
      </c>
      <c r="J21" s="15"/>
      <c r="K21" s="15">
        <f t="shared" ref="K21" si="13">I21*F21</f>
        <v>285079.2</v>
      </c>
      <c r="L21" s="283" t="s">
        <v>164</v>
      </c>
    </row>
    <row r="22" spans="2:12" ht="111" customHeight="1" x14ac:dyDescent="0.25">
      <c r="B22" s="5">
        <v>14</v>
      </c>
      <c r="C22" s="6">
        <v>43151</v>
      </c>
      <c r="D22" s="7" t="s">
        <v>160</v>
      </c>
      <c r="E22" s="7" t="s">
        <v>9</v>
      </c>
      <c r="F22" s="7">
        <v>4370</v>
      </c>
      <c r="G22" s="7">
        <v>1</v>
      </c>
      <c r="H22" s="7">
        <v>77</v>
      </c>
      <c r="I22" s="7">
        <f t="shared" si="12"/>
        <v>77</v>
      </c>
      <c r="J22" s="8">
        <f t="shared" ref="J22" si="14">I22*F22</f>
        <v>336490</v>
      </c>
      <c r="K22" s="8"/>
      <c r="L22" s="9" t="s">
        <v>165</v>
      </c>
    </row>
    <row r="23" spans="2:12" ht="111" customHeight="1" x14ac:dyDescent="0.25">
      <c r="B23" s="5">
        <v>14</v>
      </c>
      <c r="C23" s="6">
        <v>43152</v>
      </c>
      <c r="D23" s="7" t="s">
        <v>160</v>
      </c>
      <c r="E23" s="7" t="s">
        <v>9</v>
      </c>
      <c r="F23" s="7">
        <v>4800</v>
      </c>
      <c r="G23" s="7">
        <v>1</v>
      </c>
      <c r="H23" s="7">
        <v>69</v>
      </c>
      <c r="I23" s="7">
        <f t="shared" ref="I23:I26" si="15">H23*G23</f>
        <v>69</v>
      </c>
      <c r="J23" s="8">
        <f t="shared" ref="J23" si="16">I23*F23</f>
        <v>331200</v>
      </c>
      <c r="K23" s="8"/>
      <c r="L23" s="9" t="s">
        <v>166</v>
      </c>
    </row>
    <row r="24" spans="2:12" ht="60" x14ac:dyDescent="0.25">
      <c r="B24" s="11">
        <v>15</v>
      </c>
      <c r="C24" s="12">
        <v>43171</v>
      </c>
      <c r="D24" s="13" t="s">
        <v>135</v>
      </c>
      <c r="E24" s="13" t="s">
        <v>152</v>
      </c>
      <c r="F24" s="13">
        <v>157.85</v>
      </c>
      <c r="G24" s="14">
        <v>100</v>
      </c>
      <c r="H24" s="13">
        <v>57</v>
      </c>
      <c r="I24" s="13">
        <f t="shared" si="15"/>
        <v>5700</v>
      </c>
      <c r="J24" s="15"/>
      <c r="K24" s="15">
        <f t="shared" ref="K24" si="17">I24*F24</f>
        <v>899745</v>
      </c>
      <c r="L24" s="283" t="s">
        <v>169</v>
      </c>
    </row>
    <row r="25" spans="2:12" ht="90" customHeight="1" x14ac:dyDescent="0.25">
      <c r="B25" s="5">
        <v>5</v>
      </c>
      <c r="C25" s="286">
        <v>43182</v>
      </c>
      <c r="D25" s="297" t="s">
        <v>135</v>
      </c>
      <c r="E25" s="7" t="s">
        <v>9</v>
      </c>
      <c r="F25" s="291">
        <v>154.5</v>
      </c>
      <c r="G25" s="7">
        <v>100</v>
      </c>
      <c r="H25" s="7">
        <v>58</v>
      </c>
      <c r="I25" s="7">
        <f t="shared" si="15"/>
        <v>5800</v>
      </c>
      <c r="J25" s="8">
        <f t="shared" ref="J25" si="18">I25*F25</f>
        <v>896100</v>
      </c>
      <c r="K25" s="8"/>
      <c r="L25" s="9" t="s">
        <v>170</v>
      </c>
    </row>
    <row r="26" spans="2:12" ht="45" x14ac:dyDescent="0.25">
      <c r="B26" s="11">
        <v>15</v>
      </c>
      <c r="C26" s="12">
        <v>43192</v>
      </c>
      <c r="D26" s="13" t="s">
        <v>159</v>
      </c>
      <c r="E26" s="13" t="s">
        <v>152</v>
      </c>
      <c r="F26" s="13">
        <v>0.11824</v>
      </c>
      <c r="G26" s="14">
        <v>10000</v>
      </c>
      <c r="H26" s="13">
        <v>471</v>
      </c>
      <c r="I26" s="13">
        <f t="shared" si="15"/>
        <v>4710000</v>
      </c>
      <c r="J26" s="15"/>
      <c r="K26" s="15">
        <f t="shared" ref="K26" si="19">I26*F26</f>
        <v>556910.4</v>
      </c>
      <c r="L26" s="283" t="s">
        <v>171</v>
      </c>
    </row>
    <row r="27" spans="2:12" ht="90" customHeight="1" x14ac:dyDescent="0.25">
      <c r="B27" s="5">
        <v>16</v>
      </c>
      <c r="C27" s="373">
        <v>43193</v>
      </c>
      <c r="D27" s="297" t="s">
        <v>172</v>
      </c>
      <c r="E27" s="7" t="s">
        <v>9</v>
      </c>
      <c r="F27" s="291">
        <v>0.77070000000000005</v>
      </c>
      <c r="G27" s="7">
        <v>1000</v>
      </c>
      <c r="H27" s="7">
        <v>730</v>
      </c>
      <c r="I27" s="7">
        <f t="shared" ref="I27:I28" si="20">H27*G27</f>
        <v>730000</v>
      </c>
      <c r="J27" s="8">
        <f t="shared" ref="J27" si="21">I27*F27</f>
        <v>562611</v>
      </c>
      <c r="K27" s="8"/>
      <c r="L27" s="9" t="s">
        <v>173</v>
      </c>
    </row>
    <row r="28" spans="2:12" ht="45" x14ac:dyDescent="0.25">
      <c r="B28" s="11">
        <v>17</v>
      </c>
      <c r="C28" s="12">
        <v>43199</v>
      </c>
      <c r="D28" s="13" t="s">
        <v>13</v>
      </c>
      <c r="E28" s="13" t="s">
        <v>152</v>
      </c>
      <c r="F28" s="13">
        <v>0.34449999999999997</v>
      </c>
      <c r="G28" s="14">
        <v>1000</v>
      </c>
      <c r="H28" s="13">
        <v>1494</v>
      </c>
      <c r="I28" s="13">
        <f t="shared" si="20"/>
        <v>1494000</v>
      </c>
      <c r="J28" s="15"/>
      <c r="K28" s="15">
        <f t="shared" ref="K28:K30" si="22">I28*F28</f>
        <v>514682.99999999994</v>
      </c>
      <c r="L28" s="283" t="s">
        <v>176</v>
      </c>
    </row>
    <row r="29" spans="2:12" ht="105" x14ac:dyDescent="0.25">
      <c r="B29" s="5">
        <v>18</v>
      </c>
      <c r="C29" s="373">
        <v>43199</v>
      </c>
      <c r="D29" s="297" t="s">
        <v>175</v>
      </c>
      <c r="E29" s="7" t="s">
        <v>9</v>
      </c>
      <c r="F29" s="291">
        <v>215.7</v>
      </c>
      <c r="G29" s="7">
        <v>10</v>
      </c>
      <c r="H29" s="7">
        <v>238</v>
      </c>
      <c r="I29" s="7">
        <f t="shared" ref="I29:I30" si="23">H29*G29</f>
        <v>2380</v>
      </c>
      <c r="J29" s="8">
        <f t="shared" ref="J29" si="24">I29*F29</f>
        <v>513366</v>
      </c>
      <c r="K29" s="15"/>
      <c r="L29" s="9" t="s">
        <v>177</v>
      </c>
    </row>
    <row r="30" spans="2:12" ht="60" x14ac:dyDescent="0.25">
      <c r="B30" s="5"/>
      <c r="C30" s="12">
        <v>43214</v>
      </c>
      <c r="D30" s="375" t="s">
        <v>14</v>
      </c>
      <c r="E30" s="13" t="s">
        <v>152</v>
      </c>
      <c r="F30" s="292">
        <v>1.0699999999999999E-2</v>
      </c>
      <c r="G30" s="13">
        <v>100000</v>
      </c>
      <c r="H30" s="13">
        <v>180</v>
      </c>
      <c r="I30" s="13">
        <f t="shared" si="23"/>
        <v>18000000</v>
      </c>
      <c r="J30" s="15"/>
      <c r="K30" s="15">
        <f t="shared" si="22"/>
        <v>192600</v>
      </c>
      <c r="L30" s="283" t="s">
        <v>178</v>
      </c>
    </row>
    <row r="31" spans="2:12" ht="60" x14ac:dyDescent="0.25">
      <c r="B31" s="5"/>
      <c r="C31" s="12">
        <v>43214</v>
      </c>
      <c r="D31" s="375" t="s">
        <v>151</v>
      </c>
      <c r="E31" s="13" t="s">
        <v>152</v>
      </c>
      <c r="F31" s="292">
        <v>1.7</v>
      </c>
      <c r="G31" s="13">
        <v>100</v>
      </c>
      <c r="H31" s="13">
        <v>1252</v>
      </c>
      <c r="I31" s="13">
        <f t="shared" ref="I31" si="25">H31*G31</f>
        <v>125200</v>
      </c>
      <c r="J31" s="15"/>
      <c r="K31" s="15">
        <f t="shared" ref="K31" si="26">I31*F31</f>
        <v>212840</v>
      </c>
      <c r="L31" s="283" t="s">
        <v>179</v>
      </c>
    </row>
    <row r="32" spans="2:12" ht="60" x14ac:dyDescent="0.25">
      <c r="B32" s="5"/>
      <c r="C32" s="12">
        <v>43214</v>
      </c>
      <c r="D32" s="375" t="s">
        <v>160</v>
      </c>
      <c r="E32" s="13" t="s">
        <v>152</v>
      </c>
      <c r="F32" s="292">
        <v>4734</v>
      </c>
      <c r="G32" s="13">
        <v>1</v>
      </c>
      <c r="H32" s="13">
        <v>216</v>
      </c>
      <c r="I32" s="13">
        <f t="shared" ref="I32:I33" si="27">H32*G32</f>
        <v>216</v>
      </c>
      <c r="J32" s="15"/>
      <c r="K32" s="15">
        <f t="shared" ref="K32:K33" si="28">I32*F32</f>
        <v>1022544</v>
      </c>
      <c r="L32" s="283" t="s">
        <v>180</v>
      </c>
    </row>
    <row r="33" spans="2:12" ht="60" x14ac:dyDescent="0.25">
      <c r="B33" s="5"/>
      <c r="C33" s="12">
        <v>43214</v>
      </c>
      <c r="D33" s="375" t="s">
        <v>135</v>
      </c>
      <c r="E33" s="13" t="s">
        <v>152</v>
      </c>
      <c r="F33" s="292">
        <v>147.85</v>
      </c>
      <c r="G33" s="13">
        <v>100</v>
      </c>
      <c r="H33" s="13">
        <v>58</v>
      </c>
      <c r="I33" s="13">
        <f t="shared" si="27"/>
        <v>5800</v>
      </c>
      <c r="J33" s="15"/>
      <c r="K33" s="15">
        <f t="shared" si="28"/>
        <v>857530</v>
      </c>
      <c r="L33" s="283" t="s">
        <v>181</v>
      </c>
    </row>
    <row r="34" spans="2:12" ht="60" x14ac:dyDescent="0.25">
      <c r="B34" s="5"/>
      <c r="C34" s="12">
        <v>43214</v>
      </c>
      <c r="D34" s="375" t="s">
        <v>172</v>
      </c>
      <c r="E34" s="13" t="s">
        <v>152</v>
      </c>
      <c r="F34" s="292">
        <v>0.74199999999999999</v>
      </c>
      <c r="G34" s="13">
        <v>1000</v>
      </c>
      <c r="H34" s="13">
        <v>730</v>
      </c>
      <c r="I34" s="13">
        <f t="shared" ref="I34:I35" si="29">H34*G34</f>
        <v>730000</v>
      </c>
      <c r="J34" s="15"/>
      <c r="K34" s="15">
        <f t="shared" ref="K34:K35" si="30">I34*F34</f>
        <v>541660</v>
      </c>
      <c r="L34" s="283" t="s">
        <v>182</v>
      </c>
    </row>
    <row r="35" spans="2:12" ht="60" x14ac:dyDescent="0.25">
      <c r="B35" s="5"/>
      <c r="C35" s="12">
        <v>43214</v>
      </c>
      <c r="D35" s="375" t="s">
        <v>175</v>
      </c>
      <c r="E35" s="13" t="s">
        <v>152</v>
      </c>
      <c r="F35" s="292">
        <v>225</v>
      </c>
      <c r="G35" s="13">
        <v>10</v>
      </c>
      <c r="H35" s="13">
        <v>238</v>
      </c>
      <c r="I35" s="13">
        <f t="shared" si="29"/>
        <v>2380</v>
      </c>
      <c r="J35" s="15"/>
      <c r="K35" s="15">
        <f t="shared" si="30"/>
        <v>535500</v>
      </c>
      <c r="L35" s="283" t="s">
        <v>183</v>
      </c>
    </row>
    <row r="36" spans="2:12" ht="60" x14ac:dyDescent="0.25">
      <c r="B36" s="11"/>
      <c r="C36" s="376">
        <v>43214</v>
      </c>
      <c r="D36" s="377" t="s">
        <v>175</v>
      </c>
      <c r="E36" s="378" t="s">
        <v>184</v>
      </c>
      <c r="F36" s="379">
        <v>225.4</v>
      </c>
      <c r="G36" s="378">
        <v>10</v>
      </c>
      <c r="H36" s="378">
        <v>-493</v>
      </c>
      <c r="I36" s="378">
        <f t="shared" ref="I36" si="31">H36*G36</f>
        <v>-4930</v>
      </c>
      <c r="J36" s="380"/>
      <c r="K36" s="380">
        <f t="shared" ref="K36" si="32">I36*F36</f>
        <v>-1111222</v>
      </c>
      <c r="L36" s="381" t="s">
        <v>185</v>
      </c>
    </row>
    <row r="37" spans="2:12" ht="60" x14ac:dyDescent="0.25">
      <c r="B37" s="11"/>
      <c r="C37" s="376">
        <v>43224</v>
      </c>
      <c r="D37" s="377" t="s">
        <v>175</v>
      </c>
      <c r="E37" s="378" t="s">
        <v>184</v>
      </c>
      <c r="F37" s="379">
        <v>228</v>
      </c>
      <c r="G37" s="378">
        <v>10</v>
      </c>
      <c r="H37" s="378">
        <v>-487</v>
      </c>
      <c r="I37" s="378">
        <f t="shared" ref="I37" si="33">H37*G37</f>
        <v>-4870</v>
      </c>
      <c r="J37" s="380"/>
      <c r="K37" s="380">
        <f t="shared" ref="K37" si="34">I37*F37</f>
        <v>-1110360</v>
      </c>
      <c r="L37" s="381" t="s">
        <v>187</v>
      </c>
    </row>
    <row r="38" spans="2:12" ht="60" x14ac:dyDescent="0.25">
      <c r="B38" s="5"/>
      <c r="C38" s="376">
        <v>43224</v>
      </c>
      <c r="D38" s="377" t="s">
        <v>175</v>
      </c>
      <c r="E38" s="378" t="s">
        <v>184</v>
      </c>
      <c r="F38" s="379">
        <v>228.25</v>
      </c>
      <c r="G38" s="378">
        <v>10</v>
      </c>
      <c r="H38" s="378">
        <v>-500</v>
      </c>
      <c r="I38" s="378">
        <f t="shared" ref="I38" si="35">H38*G38</f>
        <v>-5000</v>
      </c>
      <c r="J38" s="380"/>
      <c r="K38" s="380">
        <f t="shared" ref="K38" si="36">I38*F38</f>
        <v>-1141250</v>
      </c>
      <c r="L38" s="381" t="s">
        <v>188</v>
      </c>
    </row>
    <row r="39" spans="2:12" ht="45" x14ac:dyDescent="0.25">
      <c r="B39" s="5"/>
      <c r="C39" s="402">
        <v>43294</v>
      </c>
      <c r="D39" s="403" t="s">
        <v>175</v>
      </c>
      <c r="E39" s="404" t="s">
        <v>194</v>
      </c>
      <c r="F39" s="405">
        <v>12</v>
      </c>
      <c r="G39" s="404">
        <v>10</v>
      </c>
      <c r="H39" s="404">
        <v>-1480</v>
      </c>
      <c r="I39" s="404">
        <f t="shared" ref="I39" si="37">H39*G39</f>
        <v>-14800</v>
      </c>
      <c r="J39" s="406"/>
      <c r="K39" s="406">
        <f t="shared" ref="K39" si="38">I39*F39</f>
        <v>-177600</v>
      </c>
      <c r="L39" s="407" t="s">
        <v>195</v>
      </c>
    </row>
    <row r="40" spans="2:12" x14ac:dyDescent="0.25">
      <c r="B40" s="5"/>
      <c r="C40" s="6"/>
      <c r="D40" s="7"/>
      <c r="E40" s="7"/>
      <c r="F40" s="291"/>
      <c r="G40" s="7"/>
      <c r="H40" s="7"/>
      <c r="I40" s="7"/>
      <c r="J40" s="8"/>
      <c r="K40" s="8"/>
      <c r="L40" s="9"/>
    </row>
    <row r="41" spans="2:12" x14ac:dyDescent="0.25">
      <c r="B41" s="90"/>
      <c r="C41" s="91"/>
      <c r="D41" s="92"/>
      <c r="E41" s="92"/>
      <c r="F41" s="293"/>
      <c r="G41" s="92"/>
      <c r="H41" s="92"/>
      <c r="I41" s="92"/>
      <c r="J41" s="93"/>
      <c r="K41" s="93"/>
      <c r="L41" s="94"/>
    </row>
    <row r="42" spans="2:12" x14ac:dyDescent="0.25">
      <c r="B42" s="90"/>
      <c r="C42" s="91"/>
      <c r="D42" s="92"/>
      <c r="E42" s="92"/>
      <c r="F42" s="293"/>
      <c r="G42" s="92"/>
      <c r="H42" s="92"/>
      <c r="I42" s="92"/>
      <c r="J42" s="93"/>
      <c r="K42" s="93"/>
      <c r="L42" s="94"/>
    </row>
    <row r="43" spans="2:12" ht="15.75" thickBot="1" x14ac:dyDescent="0.3">
      <c r="B43" s="262"/>
      <c r="C43" s="263"/>
      <c r="D43" s="264"/>
      <c r="E43" s="264"/>
      <c r="F43" s="294"/>
      <c r="G43" s="264"/>
      <c r="H43" s="264"/>
      <c r="I43" s="264"/>
      <c r="J43" s="265"/>
      <c r="K43" s="265"/>
      <c r="L43" s="273"/>
    </row>
    <row r="44" spans="2:12" x14ac:dyDescent="0.25">
      <c r="B44" s="223"/>
      <c r="C44" s="224"/>
      <c r="D44" s="223"/>
      <c r="E44" s="223"/>
      <c r="F44" s="295"/>
      <c r="G44" s="223"/>
      <c r="H44" s="223"/>
      <c r="I44" s="223"/>
      <c r="J44" s="225"/>
      <c r="K44" s="225"/>
      <c r="L44" s="223"/>
    </row>
    <row r="45" spans="2:12" s="18" customFormat="1" x14ac:dyDescent="0.25">
      <c r="C45" s="19"/>
      <c r="F45" s="296"/>
      <c r="I45" s="38"/>
      <c r="J45" s="39">
        <f>SUM(J6:J43)</f>
        <v>6974415.5</v>
      </c>
      <c r="K45" s="39">
        <f>SUM(K6:K43)</f>
        <v>6798041.4000000004</v>
      </c>
      <c r="L45" s="38" t="s">
        <v>21</v>
      </c>
    </row>
    <row r="46" spans="2:12" s="18" customFormat="1" ht="7.5" customHeight="1" x14ac:dyDescent="0.25">
      <c r="C46" s="19"/>
      <c r="F46" s="296"/>
      <c r="I46" s="38"/>
      <c r="J46" s="39"/>
      <c r="K46" s="39"/>
      <c r="L46" s="38"/>
    </row>
    <row r="47" spans="2:12" ht="30.75" thickBot="1" x14ac:dyDescent="0.3">
      <c r="I47" s="47" t="s">
        <v>19</v>
      </c>
      <c r="J47" s="215"/>
      <c r="K47" s="215">
        <f>K45-J45</f>
        <v>-176374.09999999963</v>
      </c>
      <c r="L47" s="216" t="s">
        <v>20</v>
      </c>
    </row>
    <row r="48" spans="2:12" ht="15.75" thickTop="1" x14ac:dyDescent="0.25"/>
  </sheetData>
  <autoFilter ref="A6:L47" xr:uid="{00000000-0009-0000-0000-000002000000}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25" workbookViewId="0">
      <selection activeCell="N48" sqref="N48"/>
    </sheetView>
  </sheetViews>
  <sheetFormatPr defaultRowHeight="15" x14ac:dyDescent="0.25"/>
  <cols>
    <col min="1" max="1" width="1.5703125" style="1" customWidth="1"/>
    <col min="2" max="2" width="6.85546875" style="1" customWidth="1"/>
    <col min="3" max="3" width="17" style="1" customWidth="1"/>
    <col min="4" max="4" width="13.42578125" style="1" customWidth="1"/>
    <col min="5" max="5" width="10.140625" style="2" bestFit="1" customWidth="1"/>
    <col min="6" max="6" width="11.85546875" style="1" customWidth="1"/>
    <col min="7" max="7" width="9.140625" style="1"/>
    <col min="8" max="8" width="11.5703125" style="1" bestFit="1" customWidth="1"/>
    <col min="9" max="9" width="11.5703125" style="1" customWidth="1"/>
    <col min="10" max="10" width="12.42578125" style="49" bestFit="1" customWidth="1"/>
    <col min="11" max="11" width="13.140625" style="49" bestFit="1" customWidth="1"/>
    <col min="12" max="12" width="10.140625" style="2" bestFit="1" customWidth="1"/>
    <col min="13" max="13" width="17.42578125" style="1" customWidth="1"/>
    <col min="14" max="14" width="38" style="1" customWidth="1"/>
    <col min="15" max="16384" width="9.140625" style="1"/>
  </cols>
  <sheetData>
    <row r="1" spans="1:14" s="62" customFormat="1" ht="28.5" x14ac:dyDescent="0.45">
      <c r="A1" s="22"/>
      <c r="C1" s="113" t="s">
        <v>55</v>
      </c>
      <c r="E1" s="63"/>
      <c r="J1" s="64"/>
      <c r="K1" s="64"/>
      <c r="L1" s="63"/>
    </row>
    <row r="2" spans="1:14" s="62" customFormat="1" ht="6" customHeight="1" x14ac:dyDescent="0.45">
      <c r="A2" s="22"/>
      <c r="C2" s="113"/>
      <c r="E2" s="63"/>
      <c r="J2" s="64"/>
      <c r="K2" s="64"/>
      <c r="L2" s="63"/>
    </row>
    <row r="3" spans="1:14" s="277" customFormat="1" ht="18.75" customHeight="1" x14ac:dyDescent="0.35">
      <c r="B3" s="281" t="s">
        <v>139</v>
      </c>
      <c r="C3" s="278"/>
      <c r="E3" s="279"/>
      <c r="J3" s="280"/>
      <c r="K3" s="280"/>
      <c r="L3" s="279"/>
    </row>
    <row r="4" spans="1:14" ht="8.25" customHeight="1" thickBot="1" x14ac:dyDescent="0.3"/>
    <row r="5" spans="1:14" s="61" customFormat="1" ht="30" customHeight="1" thickBot="1" x14ac:dyDescent="0.4">
      <c r="B5" s="83"/>
      <c r="C5" s="83"/>
      <c r="D5" s="424" t="s">
        <v>41</v>
      </c>
      <c r="E5" s="425"/>
      <c r="F5" s="425"/>
      <c r="G5" s="425"/>
      <c r="H5" s="426"/>
      <c r="I5" s="421" t="s">
        <v>42</v>
      </c>
      <c r="J5" s="422"/>
      <c r="K5" s="422"/>
      <c r="L5" s="422"/>
      <c r="M5" s="423"/>
      <c r="N5" s="84"/>
    </row>
    <row r="6" spans="1:14" s="59" customFormat="1" ht="93" customHeight="1" thickBot="1" x14ac:dyDescent="0.3">
      <c r="B6" s="74" t="s">
        <v>38</v>
      </c>
      <c r="C6" s="74" t="s">
        <v>39</v>
      </c>
      <c r="D6" s="74" t="s">
        <v>47</v>
      </c>
      <c r="E6" s="77" t="s">
        <v>43</v>
      </c>
      <c r="F6" s="74" t="s">
        <v>40</v>
      </c>
      <c r="G6" s="74" t="s">
        <v>52</v>
      </c>
      <c r="H6" s="74" t="s">
        <v>53</v>
      </c>
      <c r="I6" s="80" t="s">
        <v>48</v>
      </c>
      <c r="J6" s="81" t="s">
        <v>44</v>
      </c>
      <c r="K6" s="81" t="s">
        <v>45</v>
      </c>
      <c r="L6" s="77" t="s">
        <v>49</v>
      </c>
      <c r="M6" s="74" t="s">
        <v>46</v>
      </c>
      <c r="N6" s="74" t="s">
        <v>7</v>
      </c>
    </row>
    <row r="7" spans="1:14" x14ac:dyDescent="0.25">
      <c r="B7" s="73">
        <v>1</v>
      </c>
      <c r="C7" s="75"/>
      <c r="D7" s="75"/>
      <c r="E7" s="76"/>
      <c r="F7" s="75"/>
      <c r="G7" s="75"/>
      <c r="H7" s="78" t="e">
        <f>F7/G7</f>
        <v>#DIV/0!</v>
      </c>
      <c r="I7" s="75">
        <f>F7*0.87</f>
        <v>0</v>
      </c>
      <c r="J7" s="79"/>
      <c r="K7" s="100">
        <f>I7*J7</f>
        <v>0</v>
      </c>
      <c r="L7" s="76"/>
      <c r="M7" s="102">
        <f>K7/3000000</f>
        <v>0</v>
      </c>
      <c r="N7" s="82"/>
    </row>
    <row r="8" spans="1:14" x14ac:dyDescent="0.25">
      <c r="B8" s="65">
        <v>2</v>
      </c>
      <c r="C8" s="55"/>
      <c r="D8" s="55"/>
      <c r="E8" s="56"/>
      <c r="F8" s="55"/>
      <c r="G8" s="55"/>
      <c r="H8" s="58" t="e">
        <f t="shared" ref="H8:H20" si="0">F8/G8</f>
        <v>#DIV/0!</v>
      </c>
      <c r="I8" s="55">
        <f t="shared" ref="I8:I20" si="1">F8*0.87</f>
        <v>0</v>
      </c>
      <c r="J8" s="57"/>
      <c r="K8" s="60">
        <f t="shared" ref="K8:K20" si="2">I8*J8</f>
        <v>0</v>
      </c>
      <c r="L8" s="282"/>
      <c r="M8" s="103">
        <f t="shared" ref="M8:M20" si="3">K8/3000000</f>
        <v>0</v>
      </c>
      <c r="N8" s="66"/>
    </row>
    <row r="9" spans="1:14" x14ac:dyDescent="0.25">
      <c r="B9" s="65">
        <v>3</v>
      </c>
      <c r="C9" s="55"/>
      <c r="D9" s="55"/>
      <c r="E9" s="56"/>
      <c r="F9" s="55"/>
      <c r="G9" s="55"/>
      <c r="H9" s="58" t="e">
        <f t="shared" si="0"/>
        <v>#DIV/0!</v>
      </c>
      <c r="I9" s="55">
        <f t="shared" si="1"/>
        <v>0</v>
      </c>
      <c r="J9" s="57"/>
      <c r="K9" s="60">
        <f t="shared" si="2"/>
        <v>0</v>
      </c>
      <c r="L9" s="282"/>
      <c r="M9" s="103">
        <f t="shared" si="3"/>
        <v>0</v>
      </c>
      <c r="N9" s="66"/>
    </row>
    <row r="10" spans="1:14" x14ac:dyDescent="0.25">
      <c r="B10" s="65">
        <v>4</v>
      </c>
      <c r="C10" s="55"/>
      <c r="D10" s="55"/>
      <c r="E10" s="56"/>
      <c r="F10" s="55"/>
      <c r="G10" s="55"/>
      <c r="H10" s="58" t="e">
        <f t="shared" si="0"/>
        <v>#DIV/0!</v>
      </c>
      <c r="I10" s="55">
        <f t="shared" si="1"/>
        <v>0</v>
      </c>
      <c r="J10" s="57"/>
      <c r="K10" s="60">
        <f t="shared" si="2"/>
        <v>0</v>
      </c>
      <c r="L10" s="282"/>
      <c r="M10" s="103">
        <f t="shared" si="3"/>
        <v>0</v>
      </c>
      <c r="N10" s="66"/>
    </row>
    <row r="11" spans="1:14" x14ac:dyDescent="0.25">
      <c r="B11" s="65">
        <v>5</v>
      </c>
      <c r="C11" s="46"/>
      <c r="D11" s="55"/>
      <c r="E11" s="56"/>
      <c r="F11" s="55"/>
      <c r="G11" s="55"/>
      <c r="H11" s="58" t="e">
        <f t="shared" si="0"/>
        <v>#DIV/0!</v>
      </c>
      <c r="I11" s="55">
        <f t="shared" si="1"/>
        <v>0</v>
      </c>
      <c r="J11" s="57"/>
      <c r="K11" s="60">
        <f t="shared" si="2"/>
        <v>0</v>
      </c>
      <c r="L11" s="282"/>
      <c r="M11" s="103">
        <f t="shared" si="3"/>
        <v>0</v>
      </c>
      <c r="N11" s="66"/>
    </row>
    <row r="12" spans="1:14" x14ac:dyDescent="0.25">
      <c r="B12" s="65">
        <v>6</v>
      </c>
      <c r="C12" s="55"/>
      <c r="D12" s="55"/>
      <c r="E12" s="56"/>
      <c r="F12" s="55"/>
      <c r="G12" s="55"/>
      <c r="H12" s="58" t="e">
        <f t="shared" si="0"/>
        <v>#DIV/0!</v>
      </c>
      <c r="I12" s="55">
        <f t="shared" si="1"/>
        <v>0</v>
      </c>
      <c r="J12" s="57"/>
      <c r="K12" s="60">
        <f t="shared" si="2"/>
        <v>0</v>
      </c>
      <c r="L12" s="282"/>
      <c r="M12" s="103">
        <f t="shared" si="3"/>
        <v>0</v>
      </c>
      <c r="N12" s="66"/>
    </row>
    <row r="13" spans="1:14" x14ac:dyDescent="0.25">
      <c r="B13" s="65">
        <v>7</v>
      </c>
      <c r="C13" s="55"/>
      <c r="D13" s="55"/>
      <c r="E13" s="56"/>
      <c r="F13" s="55"/>
      <c r="G13" s="55"/>
      <c r="H13" s="58" t="e">
        <f t="shared" si="0"/>
        <v>#DIV/0!</v>
      </c>
      <c r="I13" s="55">
        <f t="shared" si="1"/>
        <v>0</v>
      </c>
      <c r="J13" s="57"/>
      <c r="K13" s="60">
        <f t="shared" si="2"/>
        <v>0</v>
      </c>
      <c r="L13" s="282"/>
      <c r="M13" s="103">
        <f t="shared" si="3"/>
        <v>0</v>
      </c>
      <c r="N13" s="66"/>
    </row>
    <row r="14" spans="1:14" x14ac:dyDescent="0.25">
      <c r="B14" s="65">
        <v>8</v>
      </c>
      <c r="C14" s="55"/>
      <c r="D14" s="55"/>
      <c r="E14" s="56"/>
      <c r="F14" s="55"/>
      <c r="G14" s="55"/>
      <c r="H14" s="58" t="e">
        <f t="shared" si="0"/>
        <v>#DIV/0!</v>
      </c>
      <c r="I14" s="55">
        <f t="shared" si="1"/>
        <v>0</v>
      </c>
      <c r="J14" s="57"/>
      <c r="K14" s="60">
        <f t="shared" si="2"/>
        <v>0</v>
      </c>
      <c r="L14" s="282"/>
      <c r="M14" s="103">
        <f t="shared" si="3"/>
        <v>0</v>
      </c>
      <c r="N14" s="66"/>
    </row>
    <row r="15" spans="1:14" x14ac:dyDescent="0.25">
      <c r="B15" s="65">
        <v>9</v>
      </c>
      <c r="C15" s="55"/>
      <c r="D15" s="55"/>
      <c r="E15" s="56"/>
      <c r="F15" s="55"/>
      <c r="G15" s="55"/>
      <c r="H15" s="58" t="e">
        <f t="shared" si="0"/>
        <v>#DIV/0!</v>
      </c>
      <c r="I15" s="55">
        <f t="shared" si="1"/>
        <v>0</v>
      </c>
      <c r="J15" s="57"/>
      <c r="K15" s="60">
        <f t="shared" si="2"/>
        <v>0</v>
      </c>
      <c r="L15" s="282"/>
      <c r="M15" s="103">
        <f t="shared" si="3"/>
        <v>0</v>
      </c>
      <c r="N15" s="66"/>
    </row>
    <row r="16" spans="1:14" x14ac:dyDescent="0.25">
      <c r="B16" s="65">
        <v>10</v>
      </c>
      <c r="C16" s="55"/>
      <c r="D16" s="55"/>
      <c r="E16" s="56"/>
      <c r="F16" s="55"/>
      <c r="G16" s="55"/>
      <c r="H16" s="58" t="e">
        <f t="shared" si="0"/>
        <v>#DIV/0!</v>
      </c>
      <c r="I16" s="55">
        <f t="shared" si="1"/>
        <v>0</v>
      </c>
      <c r="J16" s="57"/>
      <c r="K16" s="60">
        <f t="shared" si="2"/>
        <v>0</v>
      </c>
      <c r="L16" s="282"/>
      <c r="M16" s="103">
        <f t="shared" si="3"/>
        <v>0</v>
      </c>
      <c r="N16" s="66"/>
    </row>
    <row r="17" spans="2:14" x14ac:dyDescent="0.25">
      <c r="B17" s="65">
        <v>11</v>
      </c>
      <c r="C17" s="55"/>
      <c r="D17" s="55"/>
      <c r="E17" s="56"/>
      <c r="F17" s="55"/>
      <c r="G17" s="55"/>
      <c r="H17" s="58" t="e">
        <f t="shared" si="0"/>
        <v>#DIV/0!</v>
      </c>
      <c r="I17" s="55">
        <f t="shared" si="1"/>
        <v>0</v>
      </c>
      <c r="J17" s="57"/>
      <c r="K17" s="60">
        <f t="shared" si="2"/>
        <v>0</v>
      </c>
      <c r="L17" s="282"/>
      <c r="M17" s="103">
        <f t="shared" si="3"/>
        <v>0</v>
      </c>
      <c r="N17" s="66"/>
    </row>
    <row r="18" spans="2:14" x14ac:dyDescent="0.25">
      <c r="B18" s="65">
        <v>12</v>
      </c>
      <c r="C18" s="55"/>
      <c r="D18" s="55"/>
      <c r="E18" s="56"/>
      <c r="F18" s="55"/>
      <c r="G18" s="55"/>
      <c r="H18" s="58" t="e">
        <f t="shared" si="0"/>
        <v>#DIV/0!</v>
      </c>
      <c r="I18" s="55">
        <f t="shared" si="1"/>
        <v>0</v>
      </c>
      <c r="J18" s="57"/>
      <c r="K18" s="60">
        <f t="shared" si="2"/>
        <v>0</v>
      </c>
      <c r="L18" s="282"/>
      <c r="M18" s="103">
        <f t="shared" si="3"/>
        <v>0</v>
      </c>
      <c r="N18" s="66"/>
    </row>
    <row r="19" spans="2:14" x14ac:dyDescent="0.25">
      <c r="B19" s="65">
        <v>13</v>
      </c>
      <c r="C19" s="55"/>
      <c r="D19" s="55"/>
      <c r="E19" s="56"/>
      <c r="F19" s="55"/>
      <c r="G19" s="55"/>
      <c r="H19" s="58" t="e">
        <f t="shared" si="0"/>
        <v>#DIV/0!</v>
      </c>
      <c r="I19" s="55">
        <f t="shared" si="1"/>
        <v>0</v>
      </c>
      <c r="J19" s="57"/>
      <c r="K19" s="60">
        <f t="shared" si="2"/>
        <v>0</v>
      </c>
      <c r="L19" s="282"/>
      <c r="M19" s="103">
        <f t="shared" si="3"/>
        <v>0</v>
      </c>
      <c r="N19" s="66"/>
    </row>
    <row r="20" spans="2:14" ht="15.75" thickBot="1" x14ac:dyDescent="0.3">
      <c r="B20" s="67">
        <v>14</v>
      </c>
      <c r="C20" s="68"/>
      <c r="D20" s="68"/>
      <c r="E20" s="69"/>
      <c r="F20" s="68"/>
      <c r="G20" s="68"/>
      <c r="H20" s="70" t="e">
        <f t="shared" si="0"/>
        <v>#DIV/0!</v>
      </c>
      <c r="I20" s="68">
        <f t="shared" si="1"/>
        <v>0</v>
      </c>
      <c r="J20" s="71"/>
      <c r="K20" s="101">
        <f t="shared" si="2"/>
        <v>0</v>
      </c>
      <c r="L20" s="284"/>
      <c r="M20" s="104">
        <f t="shared" si="3"/>
        <v>0</v>
      </c>
      <c r="N20" s="72"/>
    </row>
    <row r="21" spans="2:14" x14ac:dyDescent="0.25">
      <c r="H21" s="35"/>
      <c r="M21" s="35"/>
    </row>
    <row r="22" spans="2:14" ht="16.5" thickBot="1" x14ac:dyDescent="0.3">
      <c r="H22" s="35"/>
      <c r="I22" s="420" t="s">
        <v>54</v>
      </c>
      <c r="J22" s="420"/>
      <c r="K22" s="50">
        <f>SUM(K7:K20)</f>
        <v>0</v>
      </c>
      <c r="L22" s="54"/>
      <c r="M22" s="48">
        <f>SUM(M7:M20)</f>
        <v>0</v>
      </c>
      <c r="N22" s="47"/>
    </row>
    <row r="23" spans="2:14" ht="15.75" thickTop="1" x14ac:dyDescent="0.25">
      <c r="H23" s="35"/>
      <c r="M23" s="35"/>
    </row>
    <row r="24" spans="2:14" x14ac:dyDescent="0.25">
      <c r="H24" s="35"/>
      <c r="M24" s="35"/>
    </row>
    <row r="26" spans="2:14" s="45" customFormat="1" x14ac:dyDescent="0.25">
      <c r="B26" s="45" t="s">
        <v>51</v>
      </c>
      <c r="E26" s="53"/>
      <c r="J26" s="51"/>
      <c r="K26" s="51"/>
      <c r="L26" s="53"/>
    </row>
    <row r="27" spans="2:14" s="45" customFormat="1" x14ac:dyDescent="0.25">
      <c r="B27" s="45" t="s">
        <v>50</v>
      </c>
      <c r="E27" s="53"/>
      <c r="J27" s="51"/>
      <c r="K27" s="51"/>
      <c r="L27" s="53"/>
    </row>
    <row r="29" spans="2:14" s="277" customFormat="1" ht="18.75" customHeight="1" x14ac:dyDescent="0.35">
      <c r="B29" s="281" t="s">
        <v>140</v>
      </c>
      <c r="C29" s="278"/>
      <c r="E29" s="279"/>
      <c r="J29" s="280"/>
      <c r="K29" s="280"/>
      <c r="L29" s="279"/>
    </row>
    <row r="30" spans="2:14" ht="8.25" customHeight="1" thickBot="1" x14ac:dyDescent="0.3"/>
    <row r="31" spans="2:14" s="61" customFormat="1" ht="30" customHeight="1" thickBot="1" x14ac:dyDescent="0.4">
      <c r="B31" s="83"/>
      <c r="C31" s="83"/>
      <c r="D31" s="424" t="s">
        <v>41</v>
      </c>
      <c r="E31" s="425"/>
      <c r="F31" s="425"/>
      <c r="G31" s="425"/>
      <c r="H31" s="426"/>
      <c r="I31" s="421" t="s">
        <v>42</v>
      </c>
      <c r="J31" s="422"/>
      <c r="K31" s="422"/>
      <c r="L31" s="422"/>
      <c r="M31" s="423"/>
      <c r="N31" s="84"/>
    </row>
    <row r="32" spans="2:14" s="59" customFormat="1" ht="93" customHeight="1" thickBot="1" x14ac:dyDescent="0.3">
      <c r="B32" s="74" t="s">
        <v>38</v>
      </c>
      <c r="C32" s="74" t="s">
        <v>39</v>
      </c>
      <c r="D32" s="74" t="s">
        <v>47</v>
      </c>
      <c r="E32" s="77" t="s">
        <v>43</v>
      </c>
      <c r="F32" s="74" t="s">
        <v>40</v>
      </c>
      <c r="G32" s="74" t="s">
        <v>52</v>
      </c>
      <c r="H32" s="74" t="s">
        <v>53</v>
      </c>
      <c r="I32" s="80" t="s">
        <v>48</v>
      </c>
      <c r="J32" s="81" t="s">
        <v>44</v>
      </c>
      <c r="K32" s="81" t="s">
        <v>45</v>
      </c>
      <c r="L32" s="77" t="s">
        <v>49</v>
      </c>
      <c r="M32" s="74" t="s">
        <v>46</v>
      </c>
      <c r="N32" s="74" t="s">
        <v>7</v>
      </c>
    </row>
    <row r="33" spans="2:14" x14ac:dyDescent="0.25">
      <c r="B33" s="73">
        <v>1</v>
      </c>
      <c r="C33" s="75"/>
      <c r="D33" s="75"/>
      <c r="E33" s="76"/>
      <c r="F33" s="75"/>
      <c r="G33" s="75"/>
      <c r="H33" s="78" t="e">
        <f>F33/G33</f>
        <v>#DIV/0!</v>
      </c>
      <c r="I33" s="75">
        <f>F33*0.87</f>
        <v>0</v>
      </c>
      <c r="J33" s="79"/>
      <c r="K33" s="100">
        <f>I33*J33</f>
        <v>0</v>
      </c>
      <c r="L33" s="76"/>
      <c r="M33" s="102">
        <f>K33/3000000</f>
        <v>0</v>
      </c>
      <c r="N33" s="66"/>
    </row>
    <row r="34" spans="2:14" x14ac:dyDescent="0.25">
      <c r="B34" s="65">
        <v>2</v>
      </c>
      <c r="C34" s="55"/>
      <c r="D34" s="55"/>
      <c r="E34" s="56"/>
      <c r="F34" s="55"/>
      <c r="G34" s="55"/>
      <c r="H34" s="58" t="e">
        <f t="shared" ref="H34:H46" si="4">F34/G34</f>
        <v>#DIV/0!</v>
      </c>
      <c r="I34" s="55">
        <f t="shared" ref="I34:I46" si="5">F34*0.87</f>
        <v>0</v>
      </c>
      <c r="J34" s="57"/>
      <c r="K34" s="60">
        <f t="shared" ref="K34:K46" si="6">I34*J34</f>
        <v>0</v>
      </c>
      <c r="L34" s="56"/>
      <c r="M34" s="103">
        <f t="shared" ref="M34:M46" si="7">K34/3000000</f>
        <v>0</v>
      </c>
      <c r="N34" s="66"/>
    </row>
    <row r="35" spans="2:14" x14ac:dyDescent="0.25">
      <c r="B35" s="65">
        <v>3</v>
      </c>
      <c r="C35" s="55"/>
      <c r="D35" s="55"/>
      <c r="E35" s="56"/>
      <c r="F35" s="55"/>
      <c r="G35" s="55"/>
      <c r="H35" s="58" t="e">
        <f t="shared" si="4"/>
        <v>#DIV/0!</v>
      </c>
      <c r="I35" s="55">
        <f t="shared" si="5"/>
        <v>0</v>
      </c>
      <c r="J35" s="57"/>
      <c r="K35" s="60">
        <f t="shared" si="6"/>
        <v>0</v>
      </c>
      <c r="L35" s="56"/>
      <c r="M35" s="103">
        <f t="shared" si="7"/>
        <v>0</v>
      </c>
      <c r="N35" s="66"/>
    </row>
    <row r="36" spans="2:14" x14ac:dyDescent="0.25">
      <c r="B36" s="65">
        <v>4</v>
      </c>
      <c r="C36" s="55"/>
      <c r="D36" s="55"/>
      <c r="E36" s="56"/>
      <c r="F36" s="55"/>
      <c r="G36" s="55"/>
      <c r="H36" s="58" t="e">
        <f t="shared" si="4"/>
        <v>#DIV/0!</v>
      </c>
      <c r="I36" s="55">
        <f t="shared" si="5"/>
        <v>0</v>
      </c>
      <c r="J36" s="57"/>
      <c r="K36" s="60">
        <f t="shared" si="6"/>
        <v>0</v>
      </c>
      <c r="L36" s="56"/>
      <c r="M36" s="103">
        <f t="shared" si="7"/>
        <v>0</v>
      </c>
      <c r="N36" s="66"/>
    </row>
    <row r="37" spans="2:14" x14ac:dyDescent="0.25">
      <c r="B37" s="65">
        <v>5</v>
      </c>
      <c r="C37" s="46"/>
      <c r="D37" s="55"/>
      <c r="E37" s="56"/>
      <c r="F37" s="55"/>
      <c r="G37" s="55"/>
      <c r="H37" s="58" t="e">
        <f t="shared" si="4"/>
        <v>#DIV/0!</v>
      </c>
      <c r="I37" s="55">
        <f t="shared" si="5"/>
        <v>0</v>
      </c>
      <c r="J37" s="57"/>
      <c r="K37" s="60">
        <f t="shared" si="6"/>
        <v>0</v>
      </c>
      <c r="L37" s="56"/>
      <c r="M37" s="103">
        <f t="shared" si="7"/>
        <v>0</v>
      </c>
      <c r="N37" s="66"/>
    </row>
    <row r="38" spans="2:14" x14ac:dyDescent="0.25">
      <c r="B38" s="65">
        <v>6</v>
      </c>
      <c r="C38" s="55"/>
      <c r="D38" s="55"/>
      <c r="E38" s="56"/>
      <c r="F38" s="55"/>
      <c r="G38" s="55"/>
      <c r="H38" s="58" t="e">
        <f t="shared" si="4"/>
        <v>#DIV/0!</v>
      </c>
      <c r="I38" s="55">
        <f t="shared" si="5"/>
        <v>0</v>
      </c>
      <c r="J38" s="57"/>
      <c r="K38" s="60">
        <f t="shared" si="6"/>
        <v>0</v>
      </c>
      <c r="L38" s="56"/>
      <c r="M38" s="103">
        <f t="shared" si="7"/>
        <v>0</v>
      </c>
      <c r="N38" s="66"/>
    </row>
    <row r="39" spans="2:14" x14ac:dyDescent="0.25">
      <c r="B39" s="65">
        <v>7</v>
      </c>
      <c r="C39" s="55"/>
      <c r="D39" s="55"/>
      <c r="E39" s="56"/>
      <c r="F39" s="55"/>
      <c r="G39" s="55"/>
      <c r="H39" s="58" t="e">
        <f t="shared" si="4"/>
        <v>#DIV/0!</v>
      </c>
      <c r="I39" s="55">
        <f t="shared" si="5"/>
        <v>0</v>
      </c>
      <c r="J39" s="57"/>
      <c r="K39" s="60">
        <f t="shared" si="6"/>
        <v>0</v>
      </c>
      <c r="L39" s="56"/>
      <c r="M39" s="103">
        <f t="shared" si="7"/>
        <v>0</v>
      </c>
      <c r="N39" s="66"/>
    </row>
    <row r="40" spans="2:14" x14ac:dyDescent="0.25">
      <c r="B40" s="65">
        <v>8</v>
      </c>
      <c r="C40" s="55"/>
      <c r="D40" s="55"/>
      <c r="E40" s="56"/>
      <c r="F40" s="55"/>
      <c r="G40" s="55"/>
      <c r="H40" s="58" t="e">
        <f t="shared" si="4"/>
        <v>#DIV/0!</v>
      </c>
      <c r="I40" s="55">
        <f t="shared" si="5"/>
        <v>0</v>
      </c>
      <c r="J40" s="57"/>
      <c r="K40" s="60">
        <f t="shared" si="6"/>
        <v>0</v>
      </c>
      <c r="L40" s="56"/>
      <c r="M40" s="103">
        <f t="shared" si="7"/>
        <v>0</v>
      </c>
      <c r="N40" s="66"/>
    </row>
    <row r="41" spans="2:14" x14ac:dyDescent="0.25">
      <c r="B41" s="65">
        <v>9</v>
      </c>
      <c r="C41" s="55"/>
      <c r="D41" s="55"/>
      <c r="E41" s="56"/>
      <c r="F41" s="55"/>
      <c r="G41" s="55"/>
      <c r="H41" s="58" t="e">
        <f t="shared" si="4"/>
        <v>#DIV/0!</v>
      </c>
      <c r="I41" s="55">
        <f t="shared" si="5"/>
        <v>0</v>
      </c>
      <c r="J41" s="57"/>
      <c r="K41" s="60">
        <f t="shared" si="6"/>
        <v>0</v>
      </c>
      <c r="L41" s="282"/>
      <c r="M41" s="103">
        <f t="shared" si="7"/>
        <v>0</v>
      </c>
      <c r="N41" s="66"/>
    </row>
    <row r="42" spans="2:14" x14ac:dyDescent="0.25">
      <c r="B42" s="65">
        <v>10</v>
      </c>
      <c r="C42" s="55"/>
      <c r="D42" s="55"/>
      <c r="E42" s="56"/>
      <c r="F42" s="55"/>
      <c r="G42" s="55"/>
      <c r="H42" s="58" t="e">
        <f t="shared" si="4"/>
        <v>#DIV/0!</v>
      </c>
      <c r="I42" s="55">
        <f t="shared" si="5"/>
        <v>0</v>
      </c>
      <c r="J42" s="57"/>
      <c r="K42" s="60">
        <f t="shared" si="6"/>
        <v>0</v>
      </c>
      <c r="L42" s="56"/>
      <c r="M42" s="103">
        <f t="shared" si="7"/>
        <v>0</v>
      </c>
      <c r="N42" s="66"/>
    </row>
    <row r="43" spans="2:14" x14ac:dyDescent="0.25">
      <c r="B43" s="65">
        <v>11</v>
      </c>
      <c r="C43" s="55"/>
      <c r="D43" s="55"/>
      <c r="E43" s="56"/>
      <c r="F43" s="55"/>
      <c r="G43" s="55"/>
      <c r="H43" s="58" t="e">
        <f t="shared" si="4"/>
        <v>#DIV/0!</v>
      </c>
      <c r="I43" s="55">
        <f t="shared" si="5"/>
        <v>0</v>
      </c>
      <c r="J43" s="57"/>
      <c r="K43" s="60">
        <f t="shared" si="6"/>
        <v>0</v>
      </c>
      <c r="L43" s="56"/>
      <c r="M43" s="103">
        <f t="shared" si="7"/>
        <v>0</v>
      </c>
      <c r="N43" s="66"/>
    </row>
    <row r="44" spans="2:14" x14ac:dyDescent="0.25">
      <c r="B44" s="65">
        <v>12</v>
      </c>
      <c r="C44" s="55"/>
      <c r="D44" s="55"/>
      <c r="E44" s="56"/>
      <c r="F44" s="55"/>
      <c r="G44" s="55"/>
      <c r="H44" s="58" t="e">
        <f t="shared" si="4"/>
        <v>#DIV/0!</v>
      </c>
      <c r="I44" s="55">
        <f t="shared" si="5"/>
        <v>0</v>
      </c>
      <c r="J44" s="57"/>
      <c r="K44" s="60">
        <f t="shared" si="6"/>
        <v>0</v>
      </c>
      <c r="L44" s="56"/>
      <c r="M44" s="103">
        <f t="shared" si="7"/>
        <v>0</v>
      </c>
      <c r="N44" s="66"/>
    </row>
    <row r="45" spans="2:14" x14ac:dyDescent="0.25">
      <c r="B45" s="65">
        <v>13</v>
      </c>
      <c r="C45" s="55"/>
      <c r="D45" s="55"/>
      <c r="E45" s="56"/>
      <c r="F45" s="55"/>
      <c r="G45" s="55"/>
      <c r="H45" s="58" t="e">
        <f t="shared" si="4"/>
        <v>#DIV/0!</v>
      </c>
      <c r="I45" s="55">
        <f t="shared" si="5"/>
        <v>0</v>
      </c>
      <c r="J45" s="57"/>
      <c r="K45" s="60">
        <f t="shared" si="6"/>
        <v>0</v>
      </c>
      <c r="L45" s="56"/>
      <c r="M45" s="103">
        <f t="shared" si="7"/>
        <v>0</v>
      </c>
      <c r="N45" s="66"/>
    </row>
    <row r="46" spans="2:14" ht="15.75" thickBot="1" x14ac:dyDescent="0.3">
      <c r="B46" s="67">
        <v>14</v>
      </c>
      <c r="C46" s="68"/>
      <c r="D46" s="68"/>
      <c r="E46" s="69"/>
      <c r="F46" s="68"/>
      <c r="G46" s="68"/>
      <c r="H46" s="70" t="e">
        <f t="shared" si="4"/>
        <v>#DIV/0!</v>
      </c>
      <c r="I46" s="68">
        <f t="shared" si="5"/>
        <v>0</v>
      </c>
      <c r="J46" s="71"/>
      <c r="K46" s="101">
        <f t="shared" si="6"/>
        <v>0</v>
      </c>
      <c r="L46" s="69"/>
      <c r="M46" s="104">
        <f t="shared" si="7"/>
        <v>0</v>
      </c>
      <c r="N46" s="72"/>
    </row>
    <row r="47" spans="2:14" x14ac:dyDescent="0.25">
      <c r="H47" s="35"/>
      <c r="M47" s="35"/>
    </row>
    <row r="48" spans="2:14" ht="16.5" thickBot="1" x14ac:dyDescent="0.3">
      <c r="H48" s="35"/>
      <c r="I48" s="420" t="s">
        <v>54</v>
      </c>
      <c r="J48" s="420"/>
      <c r="K48" s="50">
        <f>SUM(K33:K46)</f>
        <v>0</v>
      </c>
      <c r="L48" s="54"/>
      <c r="M48" s="48">
        <f>SUM(M33:M46)</f>
        <v>0</v>
      </c>
      <c r="N48" s="47"/>
    </row>
    <row r="49" ht="15.75" thickTop="1" x14ac:dyDescent="0.25"/>
  </sheetData>
  <mergeCells count="6">
    <mergeCell ref="I48:J48"/>
    <mergeCell ref="I5:M5"/>
    <mergeCell ref="D5:H5"/>
    <mergeCell ref="I22:J22"/>
    <mergeCell ref="D31:H31"/>
    <mergeCell ref="I31:M3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40"/>
  <sheetViews>
    <sheetView topLeftCell="B1" workbookViewId="0">
      <pane ySplit="6" topLeftCell="A33" activePane="bottomLeft" state="frozen"/>
      <selection pane="bottomLeft" activeCell="K28" sqref="K28"/>
    </sheetView>
  </sheetViews>
  <sheetFormatPr defaultRowHeight="15" x14ac:dyDescent="0.25"/>
  <cols>
    <col min="1" max="1" width="1" style="1" customWidth="1"/>
    <col min="2" max="2" width="5.140625" style="1" customWidth="1"/>
    <col min="3" max="3" width="4.85546875" style="1" customWidth="1"/>
    <col min="4" max="4" width="7.85546875" style="2" customWidth="1"/>
    <col min="5" max="5" width="16" style="1" customWidth="1"/>
    <col min="6" max="6" width="9.28515625" style="1" customWidth="1"/>
    <col min="7" max="7" width="10.85546875" style="1" hidden="1" customWidth="1"/>
    <col min="8" max="8" width="10.140625" style="1" hidden="1" customWidth="1"/>
    <col min="9" max="9" width="9.42578125" style="1" customWidth="1"/>
    <col min="10" max="10" width="12.85546875" style="3" customWidth="1"/>
    <col min="11" max="11" width="7.85546875" style="41" customWidth="1"/>
    <col min="12" max="12" width="10.140625" style="2" bestFit="1" customWidth="1"/>
    <col min="13" max="13" width="9.140625" style="1"/>
    <col min="14" max="14" width="13" style="3" customWidth="1"/>
    <col min="15" max="15" width="13.28515625" style="37" bestFit="1" customWidth="1"/>
    <col min="16" max="16" width="11.42578125" style="35" bestFit="1" customWidth="1"/>
    <col min="17" max="17" width="12.140625" style="1" customWidth="1"/>
    <col min="18" max="18" width="9.7109375" style="49" customWidth="1"/>
    <col min="19" max="19" width="10.140625" style="1" customWidth="1"/>
    <col min="20" max="20" width="13.7109375" style="1" customWidth="1"/>
    <col min="21" max="21" width="12.28515625" style="1" bestFit="1" customWidth="1"/>
    <col min="22" max="16384" width="9.140625" style="1"/>
  </cols>
  <sheetData>
    <row r="1" spans="2:21" s="22" customFormat="1" ht="26.25" x14ac:dyDescent="0.4">
      <c r="D1" s="114" t="s">
        <v>59</v>
      </c>
      <c r="J1" s="24"/>
      <c r="K1" s="40"/>
      <c r="L1" s="23"/>
      <c r="N1" s="24"/>
      <c r="O1" s="36"/>
      <c r="P1" s="34"/>
      <c r="R1" s="110"/>
    </row>
    <row r="2" spans="2:21" s="22" customFormat="1" ht="7.5" customHeight="1" x14ac:dyDescent="0.4">
      <c r="D2" s="114"/>
      <c r="J2" s="24"/>
      <c r="K2" s="40"/>
      <c r="L2" s="23"/>
      <c r="N2" s="24"/>
      <c r="O2" s="36"/>
      <c r="P2" s="34"/>
      <c r="R2" s="110"/>
    </row>
    <row r="3" spans="2:21" s="217" customFormat="1" x14ac:dyDescent="0.25">
      <c r="D3" s="95"/>
      <c r="E3" s="95"/>
      <c r="F3" s="95" t="s">
        <v>23</v>
      </c>
      <c r="G3" s="95"/>
      <c r="H3" s="95"/>
      <c r="I3" s="96"/>
      <c r="J3" s="96">
        <f>'Модельный портфель'!D3</f>
        <v>43357</v>
      </c>
      <c r="K3" s="219"/>
      <c r="L3" s="95"/>
      <c r="N3" s="218"/>
      <c r="O3" s="220"/>
      <c r="P3" s="221"/>
      <c r="R3" s="222"/>
    </row>
    <row r="4" spans="2:21" ht="7.5" customHeight="1" thickBot="1" x14ac:dyDescent="0.3"/>
    <row r="5" spans="2:21" s="61" customFormat="1" ht="61.5" customHeight="1" thickBot="1" x14ac:dyDescent="0.4">
      <c r="B5" s="124"/>
      <c r="C5" s="125"/>
      <c r="D5" s="440" t="s">
        <v>25</v>
      </c>
      <c r="E5" s="441"/>
      <c r="F5" s="441"/>
      <c r="G5" s="441"/>
      <c r="H5" s="441"/>
      <c r="I5" s="441"/>
      <c r="J5" s="441"/>
      <c r="K5" s="442"/>
      <c r="L5" s="430" t="s">
        <v>26</v>
      </c>
      <c r="M5" s="431"/>
      <c r="N5" s="432"/>
      <c r="O5" s="433" t="s">
        <v>27</v>
      </c>
      <c r="P5" s="434"/>
      <c r="Q5" s="437" t="s">
        <v>37</v>
      </c>
      <c r="R5" s="438"/>
      <c r="S5" s="439"/>
      <c r="T5" s="435" t="s">
        <v>28</v>
      </c>
      <c r="U5" s="436"/>
    </row>
    <row r="6" spans="2:21" s="25" customFormat="1" ht="100.5" customHeight="1" thickBot="1" x14ac:dyDescent="0.35">
      <c r="B6" s="30"/>
      <c r="C6" s="26" t="s">
        <v>0</v>
      </c>
      <c r="D6" s="126" t="s">
        <v>1</v>
      </c>
      <c r="E6" s="127" t="s">
        <v>2</v>
      </c>
      <c r="F6" s="30" t="s">
        <v>138</v>
      </c>
      <c r="G6" s="128" t="s">
        <v>6</v>
      </c>
      <c r="H6" s="129" t="s">
        <v>5</v>
      </c>
      <c r="I6" s="130" t="s">
        <v>15</v>
      </c>
      <c r="J6" s="32" t="s">
        <v>24</v>
      </c>
      <c r="K6" s="131" t="s">
        <v>36</v>
      </c>
      <c r="L6" s="133" t="s">
        <v>1</v>
      </c>
      <c r="M6" s="134" t="s">
        <v>4</v>
      </c>
      <c r="N6" s="135" t="s">
        <v>24</v>
      </c>
      <c r="O6" s="136" t="s">
        <v>33</v>
      </c>
      <c r="P6" s="137" t="s">
        <v>34</v>
      </c>
      <c r="Q6" s="132" t="s">
        <v>31</v>
      </c>
      <c r="R6" s="138" t="s">
        <v>32</v>
      </c>
      <c r="S6" s="139" t="s">
        <v>58</v>
      </c>
      <c r="T6" s="123" t="s">
        <v>29</v>
      </c>
      <c r="U6" s="140" t="s">
        <v>30</v>
      </c>
    </row>
    <row r="7" spans="2:21" s="109" customFormat="1" ht="5.25" customHeight="1" thickBot="1" x14ac:dyDescent="0.35">
      <c r="B7" s="115"/>
      <c r="C7" s="108"/>
      <c r="D7" s="116"/>
      <c r="E7" s="117"/>
      <c r="F7" s="117"/>
      <c r="G7" s="117"/>
      <c r="H7" s="117"/>
      <c r="I7" s="117"/>
      <c r="J7" s="118"/>
      <c r="K7" s="119"/>
      <c r="L7" s="116"/>
      <c r="M7" s="117"/>
      <c r="N7" s="118"/>
      <c r="O7" s="120"/>
      <c r="P7" s="121"/>
      <c r="Q7" s="117"/>
      <c r="R7" s="122"/>
      <c r="S7" s="117"/>
      <c r="T7" s="117"/>
      <c r="U7" s="141"/>
    </row>
    <row r="8" spans="2:21" x14ac:dyDescent="0.25">
      <c r="B8" s="427" t="s">
        <v>56</v>
      </c>
      <c r="C8" s="303">
        <v>1</v>
      </c>
      <c r="D8" s="304">
        <v>43100</v>
      </c>
      <c r="E8" s="305" t="s">
        <v>10</v>
      </c>
      <c r="F8" s="305">
        <v>0.16205</v>
      </c>
      <c r="G8" s="306">
        <v>10000</v>
      </c>
      <c r="H8" s="305">
        <v>161</v>
      </c>
      <c r="I8" s="305">
        <f t="shared" ref="I8" si="0">H8*G8</f>
        <v>1610000</v>
      </c>
      <c r="J8" s="307">
        <f t="shared" ref="J8:J21" si="1">I8*F8</f>
        <v>260900.5</v>
      </c>
      <c r="K8" s="308">
        <v>0.08</v>
      </c>
      <c r="L8" s="368">
        <v>43104</v>
      </c>
      <c r="M8" s="309">
        <v>0.1633</v>
      </c>
      <c r="N8" s="310">
        <f>I8*M8</f>
        <v>262913</v>
      </c>
      <c r="O8" s="311">
        <f>N8-J8</f>
        <v>2012.5</v>
      </c>
      <c r="P8" s="312">
        <f>O8/J8</f>
        <v>7.7136686207960508E-3</v>
      </c>
      <c r="Q8" s="309">
        <v>0</v>
      </c>
      <c r="R8" s="313">
        <f t="shared" ref="R8:R21" si="2">Q8*I8</f>
        <v>0</v>
      </c>
      <c r="S8" s="312">
        <f t="shared" ref="S8:S21" si="3">Q8/F8</f>
        <v>0</v>
      </c>
      <c r="T8" s="314">
        <f t="shared" ref="T8:T21" si="4">O8+R8</f>
        <v>2012.5</v>
      </c>
      <c r="U8" s="315">
        <f t="shared" ref="U8:U21" si="5">T8/J8</f>
        <v>7.7136686207960508E-3</v>
      </c>
    </row>
    <row r="9" spans="2:21" x14ac:dyDescent="0.25">
      <c r="B9" s="428"/>
      <c r="C9" s="370">
        <v>2</v>
      </c>
      <c r="D9" s="319">
        <v>43100</v>
      </c>
      <c r="E9" s="226" t="s">
        <v>137</v>
      </c>
      <c r="F9" s="226">
        <v>40.549999999999997</v>
      </c>
      <c r="G9" s="226">
        <v>10</v>
      </c>
      <c r="H9" s="226">
        <v>1195</v>
      </c>
      <c r="I9" s="320">
        <f>H9*G9</f>
        <v>11950</v>
      </c>
      <c r="J9" s="321">
        <f t="shared" si="1"/>
        <v>484572.49999999994</v>
      </c>
      <c r="K9" s="322">
        <v>0.15</v>
      </c>
      <c r="L9" s="369">
        <v>43119</v>
      </c>
      <c r="M9" s="323">
        <v>41.32</v>
      </c>
      <c r="N9" s="324">
        <f t="shared" ref="N9:N10" si="6">I9*M9</f>
        <v>493774</v>
      </c>
      <c r="O9" s="325">
        <f t="shared" ref="O9:O10" si="7">N9-J9</f>
        <v>9201.5000000000582</v>
      </c>
      <c r="P9" s="326">
        <f t="shared" ref="P9:P10" si="8">O9/J9</f>
        <v>1.898890258939593E-2</v>
      </c>
      <c r="Q9" s="323">
        <v>0</v>
      </c>
      <c r="R9" s="327">
        <f t="shared" si="2"/>
        <v>0</v>
      </c>
      <c r="S9" s="326">
        <f t="shared" si="3"/>
        <v>0</v>
      </c>
      <c r="T9" s="328">
        <f t="shared" si="4"/>
        <v>9201.5000000000582</v>
      </c>
      <c r="U9" s="329">
        <f t="shared" si="5"/>
        <v>1.898890258939593E-2</v>
      </c>
    </row>
    <row r="10" spans="2:21" x14ac:dyDescent="0.25">
      <c r="B10" s="428"/>
      <c r="C10" s="318">
        <v>3</v>
      </c>
      <c r="D10" s="371">
        <v>43100</v>
      </c>
      <c r="E10" s="226" t="s">
        <v>137</v>
      </c>
      <c r="F10" s="226">
        <v>40.549999999999997</v>
      </c>
      <c r="G10" s="226">
        <v>10</v>
      </c>
      <c r="H10" s="226">
        <v>796</v>
      </c>
      <c r="I10" s="320">
        <f>H10*G10</f>
        <v>7960</v>
      </c>
      <c r="J10" s="321">
        <f t="shared" si="1"/>
        <v>322778</v>
      </c>
      <c r="K10" s="322">
        <v>0.1</v>
      </c>
      <c r="L10" s="355">
        <v>43147</v>
      </c>
      <c r="M10" s="323">
        <v>41.13</v>
      </c>
      <c r="N10" s="324">
        <f t="shared" si="6"/>
        <v>327394.80000000005</v>
      </c>
      <c r="O10" s="325">
        <f t="shared" si="7"/>
        <v>4616.8000000000466</v>
      </c>
      <c r="P10" s="326">
        <f t="shared" si="8"/>
        <v>1.4303329223181402E-2</v>
      </c>
      <c r="Q10" s="323">
        <v>0</v>
      </c>
      <c r="R10" s="327">
        <f t="shared" si="2"/>
        <v>0</v>
      </c>
      <c r="S10" s="326">
        <f t="shared" si="3"/>
        <v>0</v>
      </c>
      <c r="T10" s="328">
        <f t="shared" si="4"/>
        <v>4616.8000000000466</v>
      </c>
      <c r="U10" s="329">
        <f t="shared" si="5"/>
        <v>1.4303329223181402E-2</v>
      </c>
    </row>
    <row r="11" spans="2:21" x14ac:dyDescent="0.25">
      <c r="B11" s="428"/>
      <c r="C11" s="363">
        <v>4</v>
      </c>
      <c r="D11" s="364">
        <v>43100</v>
      </c>
      <c r="E11" s="365" t="s">
        <v>12</v>
      </c>
      <c r="F11" s="365">
        <v>132.05000000000001</v>
      </c>
      <c r="G11" s="365">
        <v>10</v>
      </c>
      <c r="H11" s="365">
        <v>267</v>
      </c>
      <c r="I11" s="365">
        <f t="shared" ref="I11:I21" si="9">H11*G11</f>
        <v>2670</v>
      </c>
      <c r="J11" s="366">
        <f t="shared" si="1"/>
        <v>352573.50000000006</v>
      </c>
      <c r="K11" s="367">
        <v>0.11</v>
      </c>
      <c r="L11" s="355">
        <v>43151</v>
      </c>
      <c r="M11" s="356">
        <v>143.85</v>
      </c>
      <c r="N11" s="357">
        <f>I11*M11</f>
        <v>384079.5</v>
      </c>
      <c r="O11" s="358">
        <f>N11-J11</f>
        <v>31505.999999999942</v>
      </c>
      <c r="P11" s="359">
        <f>O11/J11</f>
        <v>8.9360090874668507E-2</v>
      </c>
      <c r="Q11" s="356">
        <v>0</v>
      </c>
      <c r="R11" s="360">
        <f t="shared" si="2"/>
        <v>0</v>
      </c>
      <c r="S11" s="359">
        <f t="shared" si="3"/>
        <v>0</v>
      </c>
      <c r="T11" s="361">
        <f t="shared" si="4"/>
        <v>31505.999999999942</v>
      </c>
      <c r="U11" s="362">
        <f t="shared" si="5"/>
        <v>8.9360090874668507E-2</v>
      </c>
    </row>
    <row r="12" spans="2:21" ht="15.75" thickBot="1" x14ac:dyDescent="0.3">
      <c r="B12" s="428"/>
      <c r="C12" s="363">
        <v>5</v>
      </c>
      <c r="D12" s="319">
        <v>43100</v>
      </c>
      <c r="E12" s="320" t="s">
        <v>11</v>
      </c>
      <c r="F12" s="320">
        <v>147.75</v>
      </c>
      <c r="G12" s="320">
        <v>1</v>
      </c>
      <c r="H12" s="320">
        <v>1988</v>
      </c>
      <c r="I12" s="320">
        <f t="shared" si="9"/>
        <v>1988</v>
      </c>
      <c r="J12" s="321">
        <f t="shared" si="1"/>
        <v>293727</v>
      </c>
      <c r="K12" s="322">
        <v>0.09</v>
      </c>
      <c r="L12" s="355">
        <v>43151</v>
      </c>
      <c r="M12" s="323">
        <v>143.4</v>
      </c>
      <c r="N12" s="324">
        <f t="shared" ref="N12:N15" si="10">I12*M12</f>
        <v>285079.2</v>
      </c>
      <c r="O12" s="325">
        <f t="shared" ref="O12:O15" si="11">N12-J12</f>
        <v>-8647.7999999999884</v>
      </c>
      <c r="P12" s="326">
        <f t="shared" ref="P12:P15" si="12">O12/J12</f>
        <v>-2.9441624365482193E-2</v>
      </c>
      <c r="Q12" s="323">
        <v>0</v>
      </c>
      <c r="R12" s="327">
        <f t="shared" si="2"/>
        <v>0</v>
      </c>
      <c r="S12" s="326">
        <f t="shared" si="3"/>
        <v>0</v>
      </c>
      <c r="T12" s="328">
        <f t="shared" si="4"/>
        <v>-8647.7999999999884</v>
      </c>
      <c r="U12" s="329">
        <f t="shared" si="5"/>
        <v>-2.9441624365482193E-2</v>
      </c>
    </row>
    <row r="13" spans="2:21" x14ac:dyDescent="0.25">
      <c r="B13" s="428"/>
      <c r="C13" s="303">
        <v>6</v>
      </c>
      <c r="D13" s="304">
        <v>43100</v>
      </c>
      <c r="E13" s="320" t="s">
        <v>135</v>
      </c>
      <c r="F13" s="320">
        <v>138.44999999999999</v>
      </c>
      <c r="G13" s="320">
        <v>100</v>
      </c>
      <c r="H13" s="320">
        <v>57</v>
      </c>
      <c r="I13" s="320">
        <f t="shared" si="9"/>
        <v>5700</v>
      </c>
      <c r="J13" s="321">
        <f t="shared" si="1"/>
        <v>789164.99999999988</v>
      </c>
      <c r="K13" s="322">
        <v>0.24</v>
      </c>
      <c r="L13" s="355">
        <v>43171</v>
      </c>
      <c r="M13" s="323">
        <v>157.85</v>
      </c>
      <c r="N13" s="324">
        <f t="shared" si="10"/>
        <v>899745</v>
      </c>
      <c r="O13" s="325">
        <f t="shared" si="11"/>
        <v>110580.00000000012</v>
      </c>
      <c r="P13" s="326">
        <f t="shared" si="12"/>
        <v>0.14012278801011213</v>
      </c>
      <c r="Q13" s="323">
        <v>0</v>
      </c>
      <c r="R13" s="327">
        <f t="shared" si="2"/>
        <v>0</v>
      </c>
      <c r="S13" s="326">
        <f t="shared" si="3"/>
        <v>0</v>
      </c>
      <c r="T13" s="328">
        <f t="shared" si="4"/>
        <v>110580.00000000012</v>
      </c>
      <c r="U13" s="329">
        <f t="shared" si="5"/>
        <v>0.14012278801011213</v>
      </c>
    </row>
    <row r="14" spans="2:21" x14ac:dyDescent="0.25">
      <c r="B14" s="428"/>
      <c r="C14" s="363">
        <v>7</v>
      </c>
      <c r="D14" s="319">
        <v>43119</v>
      </c>
      <c r="E14" s="226" t="s">
        <v>159</v>
      </c>
      <c r="F14" s="226">
        <v>0.1048</v>
      </c>
      <c r="G14" s="226">
        <v>10000</v>
      </c>
      <c r="H14" s="226">
        <v>471</v>
      </c>
      <c r="I14" s="320">
        <f t="shared" si="9"/>
        <v>4710000</v>
      </c>
      <c r="J14" s="321">
        <f t="shared" si="1"/>
        <v>493608</v>
      </c>
      <c r="K14" s="322">
        <v>0.15</v>
      </c>
      <c r="L14" s="369">
        <v>43192</v>
      </c>
      <c r="M14" s="323">
        <v>0.11824</v>
      </c>
      <c r="N14" s="324">
        <f t="shared" si="10"/>
        <v>556910.4</v>
      </c>
      <c r="O14" s="325">
        <f t="shared" si="11"/>
        <v>63302.400000000023</v>
      </c>
      <c r="P14" s="326">
        <f t="shared" si="12"/>
        <v>0.12824427480916034</v>
      </c>
      <c r="Q14" s="323">
        <v>0</v>
      </c>
      <c r="R14" s="327">
        <f t="shared" si="2"/>
        <v>0</v>
      </c>
      <c r="S14" s="326">
        <f t="shared" si="3"/>
        <v>0</v>
      </c>
      <c r="T14" s="328">
        <f t="shared" si="4"/>
        <v>63302.400000000023</v>
      </c>
      <c r="U14" s="329">
        <f t="shared" si="5"/>
        <v>0.12824427480916034</v>
      </c>
    </row>
    <row r="15" spans="2:21" ht="15.75" thickBot="1" x14ac:dyDescent="0.3">
      <c r="B15" s="428"/>
      <c r="C15" s="363">
        <v>8</v>
      </c>
      <c r="D15" s="319">
        <v>43100</v>
      </c>
      <c r="E15" s="226" t="s">
        <v>13</v>
      </c>
      <c r="F15" s="226">
        <v>0.35599999999999998</v>
      </c>
      <c r="G15" s="226">
        <v>1000</v>
      </c>
      <c r="H15" s="226">
        <v>1494</v>
      </c>
      <c r="I15" s="320">
        <f t="shared" si="9"/>
        <v>1494000</v>
      </c>
      <c r="J15" s="321">
        <f t="shared" si="1"/>
        <v>531864</v>
      </c>
      <c r="K15" s="322">
        <v>0.16</v>
      </c>
      <c r="L15" s="369">
        <v>43199</v>
      </c>
      <c r="M15" s="323">
        <v>0.34449999999999997</v>
      </c>
      <c r="N15" s="324">
        <f t="shared" si="10"/>
        <v>514682.99999999994</v>
      </c>
      <c r="O15" s="325">
        <f t="shared" si="11"/>
        <v>-17181.000000000058</v>
      </c>
      <c r="P15" s="326">
        <f t="shared" si="12"/>
        <v>-3.2303370786516961E-2</v>
      </c>
      <c r="Q15" s="323">
        <v>0</v>
      </c>
      <c r="R15" s="327">
        <f t="shared" si="2"/>
        <v>0</v>
      </c>
      <c r="S15" s="326">
        <f t="shared" si="3"/>
        <v>0</v>
      </c>
      <c r="T15" s="328">
        <f t="shared" si="4"/>
        <v>-17181.000000000058</v>
      </c>
      <c r="U15" s="329">
        <f t="shared" si="5"/>
        <v>-3.2303370786516961E-2</v>
      </c>
    </row>
    <row r="16" spans="2:21" x14ac:dyDescent="0.25">
      <c r="B16" s="428"/>
      <c r="C16" s="363">
        <v>9</v>
      </c>
      <c r="D16" s="304">
        <v>43100</v>
      </c>
      <c r="E16" s="320" t="s">
        <v>14</v>
      </c>
      <c r="F16" s="320">
        <v>1.1979999999999999E-2</v>
      </c>
      <c r="G16" s="374">
        <v>100000</v>
      </c>
      <c r="H16" s="320">
        <v>180</v>
      </c>
      <c r="I16" s="320">
        <f t="shared" si="9"/>
        <v>18000000</v>
      </c>
      <c r="J16" s="321">
        <f t="shared" si="1"/>
        <v>215640</v>
      </c>
      <c r="K16" s="322">
        <v>7.0000000000000007E-2</v>
      </c>
      <c r="L16" s="369">
        <v>43214</v>
      </c>
      <c r="M16" s="323">
        <v>1.0699999999999999E-2</v>
      </c>
      <c r="N16" s="324">
        <f>I16*M16</f>
        <v>192600</v>
      </c>
      <c r="O16" s="325">
        <f>N16-J16</f>
        <v>-23040</v>
      </c>
      <c r="P16" s="326">
        <f>O16/J16</f>
        <v>-0.10684474123539232</v>
      </c>
      <c r="Q16" s="323">
        <v>0</v>
      </c>
      <c r="R16" s="327">
        <f t="shared" si="2"/>
        <v>0</v>
      </c>
      <c r="S16" s="326">
        <f t="shared" si="3"/>
        <v>0</v>
      </c>
      <c r="T16" s="328">
        <f t="shared" si="4"/>
        <v>-23040</v>
      </c>
      <c r="U16" s="329">
        <f t="shared" si="5"/>
        <v>-0.10684474123539232</v>
      </c>
    </row>
    <row r="17" spans="2:21" x14ac:dyDescent="0.25">
      <c r="B17" s="428"/>
      <c r="C17" s="363">
        <v>10</v>
      </c>
      <c r="D17" s="319">
        <v>43104</v>
      </c>
      <c r="E17" s="226" t="s">
        <v>151</v>
      </c>
      <c r="F17" s="226">
        <v>2.1</v>
      </c>
      <c r="G17" s="226">
        <v>100</v>
      </c>
      <c r="H17" s="226">
        <v>1252</v>
      </c>
      <c r="I17" s="320">
        <f t="shared" si="9"/>
        <v>125200</v>
      </c>
      <c r="J17" s="321">
        <f t="shared" si="1"/>
        <v>262920</v>
      </c>
      <c r="K17" s="322">
        <v>0.08</v>
      </c>
      <c r="L17" s="369">
        <v>43214</v>
      </c>
      <c r="M17" s="323">
        <v>1.7</v>
      </c>
      <c r="N17" s="324">
        <f t="shared" ref="N17:N21" si="13">I17*M17</f>
        <v>212840</v>
      </c>
      <c r="O17" s="325">
        <f t="shared" ref="O17:O21" si="14">N17-J17</f>
        <v>-50080</v>
      </c>
      <c r="P17" s="326">
        <f t="shared" ref="P17:P21" si="15">O17/J17</f>
        <v>-0.19047619047619047</v>
      </c>
      <c r="Q17" s="323">
        <v>0</v>
      </c>
      <c r="R17" s="327">
        <f t="shared" si="2"/>
        <v>0</v>
      </c>
      <c r="S17" s="326">
        <f t="shared" si="3"/>
        <v>0</v>
      </c>
      <c r="T17" s="328">
        <f t="shared" si="4"/>
        <v>-50080</v>
      </c>
      <c r="U17" s="329">
        <f t="shared" si="5"/>
        <v>-0.19047619047619047</v>
      </c>
    </row>
    <row r="18" spans="2:21" x14ac:dyDescent="0.25">
      <c r="B18" s="428"/>
      <c r="C18" s="363">
        <v>11</v>
      </c>
      <c r="D18" s="319">
        <v>43147</v>
      </c>
      <c r="E18" s="226" t="s">
        <v>160</v>
      </c>
      <c r="F18" s="226">
        <v>4670</v>
      </c>
      <c r="G18" s="226">
        <v>1</v>
      </c>
      <c r="H18" s="226">
        <v>70</v>
      </c>
      <c r="I18" s="320">
        <f t="shared" si="9"/>
        <v>70</v>
      </c>
      <c r="J18" s="321">
        <f t="shared" si="1"/>
        <v>326900</v>
      </c>
      <c r="K18" s="322">
        <v>0.1</v>
      </c>
      <c r="L18" s="369">
        <v>43214</v>
      </c>
      <c r="M18" s="323">
        <v>4734</v>
      </c>
      <c r="N18" s="324">
        <f t="shared" si="13"/>
        <v>331380</v>
      </c>
      <c r="O18" s="325">
        <f t="shared" si="14"/>
        <v>4480</v>
      </c>
      <c r="P18" s="326">
        <f t="shared" si="15"/>
        <v>1.3704496788008565E-2</v>
      </c>
      <c r="Q18" s="323">
        <v>0</v>
      </c>
      <c r="R18" s="327">
        <f t="shared" si="2"/>
        <v>0</v>
      </c>
      <c r="S18" s="326">
        <f t="shared" si="3"/>
        <v>0</v>
      </c>
      <c r="T18" s="328">
        <f t="shared" si="4"/>
        <v>4480</v>
      </c>
      <c r="U18" s="329">
        <f t="shared" si="5"/>
        <v>1.3704496788008565E-2</v>
      </c>
    </row>
    <row r="19" spans="2:21" x14ac:dyDescent="0.25">
      <c r="B19" s="428"/>
      <c r="C19" s="363">
        <v>12</v>
      </c>
      <c r="D19" s="319">
        <v>43151</v>
      </c>
      <c r="E19" s="226" t="s">
        <v>160</v>
      </c>
      <c r="F19" s="226">
        <v>4370</v>
      </c>
      <c r="G19" s="226">
        <v>1</v>
      </c>
      <c r="H19" s="226">
        <v>77</v>
      </c>
      <c r="I19" s="320">
        <f t="shared" si="9"/>
        <v>77</v>
      </c>
      <c r="J19" s="321">
        <f t="shared" si="1"/>
        <v>336490</v>
      </c>
      <c r="K19" s="322">
        <v>0.1</v>
      </c>
      <c r="L19" s="369">
        <v>43214</v>
      </c>
      <c r="M19" s="323">
        <v>4734</v>
      </c>
      <c r="N19" s="324">
        <f t="shared" si="13"/>
        <v>364518</v>
      </c>
      <c r="O19" s="325">
        <f t="shared" si="14"/>
        <v>28028</v>
      </c>
      <c r="P19" s="326">
        <f t="shared" si="15"/>
        <v>8.3295194508009152E-2</v>
      </c>
      <c r="Q19" s="323">
        <v>0</v>
      </c>
      <c r="R19" s="327">
        <f t="shared" si="2"/>
        <v>0</v>
      </c>
      <c r="S19" s="326">
        <f t="shared" si="3"/>
        <v>0</v>
      </c>
      <c r="T19" s="328">
        <f t="shared" si="4"/>
        <v>28028</v>
      </c>
      <c r="U19" s="329">
        <f t="shared" si="5"/>
        <v>8.3295194508009152E-2</v>
      </c>
    </row>
    <row r="20" spans="2:21" x14ac:dyDescent="0.25">
      <c r="B20" s="428"/>
      <c r="C20" s="363">
        <v>13</v>
      </c>
      <c r="D20" s="319">
        <v>43152</v>
      </c>
      <c r="E20" s="226" t="s">
        <v>160</v>
      </c>
      <c r="F20" s="226">
        <v>4800</v>
      </c>
      <c r="G20" s="226">
        <v>1</v>
      </c>
      <c r="H20" s="226">
        <v>69</v>
      </c>
      <c r="I20" s="320">
        <f t="shared" si="9"/>
        <v>69</v>
      </c>
      <c r="J20" s="321">
        <f t="shared" si="1"/>
        <v>331200</v>
      </c>
      <c r="K20" s="322">
        <v>0.1</v>
      </c>
      <c r="L20" s="369">
        <v>43214</v>
      </c>
      <c r="M20" s="323">
        <v>4734</v>
      </c>
      <c r="N20" s="324">
        <f t="shared" si="13"/>
        <v>326646</v>
      </c>
      <c r="O20" s="325">
        <f t="shared" si="14"/>
        <v>-4554</v>
      </c>
      <c r="P20" s="326">
        <f t="shared" si="15"/>
        <v>-1.375E-2</v>
      </c>
      <c r="Q20" s="323">
        <v>0</v>
      </c>
      <c r="R20" s="327">
        <f t="shared" si="2"/>
        <v>0</v>
      </c>
      <c r="S20" s="326">
        <f t="shared" si="3"/>
        <v>0</v>
      </c>
      <c r="T20" s="328">
        <f t="shared" si="4"/>
        <v>-4554</v>
      </c>
      <c r="U20" s="329">
        <f t="shared" si="5"/>
        <v>-1.375E-2</v>
      </c>
    </row>
    <row r="21" spans="2:21" x14ac:dyDescent="0.25">
      <c r="B21" s="428"/>
      <c r="C21" s="363">
        <v>14</v>
      </c>
      <c r="D21" s="319">
        <v>43182</v>
      </c>
      <c r="E21" s="226" t="s">
        <v>135</v>
      </c>
      <c r="F21" s="226">
        <v>154.5</v>
      </c>
      <c r="G21" s="226">
        <v>100</v>
      </c>
      <c r="H21" s="226">
        <v>58</v>
      </c>
      <c r="I21" s="320">
        <f t="shared" si="9"/>
        <v>5800</v>
      </c>
      <c r="J21" s="321">
        <f t="shared" si="1"/>
        <v>896100</v>
      </c>
      <c r="K21" s="322">
        <v>0.24</v>
      </c>
      <c r="L21" s="369">
        <v>43214</v>
      </c>
      <c r="M21" s="323">
        <v>147.85</v>
      </c>
      <c r="N21" s="324">
        <f t="shared" si="13"/>
        <v>857530</v>
      </c>
      <c r="O21" s="325">
        <f t="shared" si="14"/>
        <v>-38570</v>
      </c>
      <c r="P21" s="326">
        <f t="shared" si="15"/>
        <v>-4.3042071197411005E-2</v>
      </c>
      <c r="Q21" s="323">
        <v>0</v>
      </c>
      <c r="R21" s="327">
        <f t="shared" si="2"/>
        <v>0</v>
      </c>
      <c r="S21" s="326">
        <f t="shared" si="3"/>
        <v>0</v>
      </c>
      <c r="T21" s="328">
        <f t="shared" si="4"/>
        <v>-38570</v>
      </c>
      <c r="U21" s="329">
        <f t="shared" si="5"/>
        <v>-4.3042071197411005E-2</v>
      </c>
    </row>
    <row r="22" spans="2:21" x14ac:dyDescent="0.25">
      <c r="B22" s="428"/>
      <c r="C22" s="363">
        <v>15</v>
      </c>
      <c r="D22" s="319">
        <v>43192</v>
      </c>
      <c r="E22" s="226" t="s">
        <v>174</v>
      </c>
      <c r="F22" s="226">
        <v>0.77070000000000005</v>
      </c>
      <c r="G22" s="226">
        <v>1000</v>
      </c>
      <c r="H22" s="226">
        <v>730</v>
      </c>
      <c r="I22" s="320">
        <f>H22*G22</f>
        <v>730000</v>
      </c>
      <c r="J22" s="321">
        <f>I22*F22</f>
        <v>562611</v>
      </c>
      <c r="K22" s="322">
        <v>0.15</v>
      </c>
      <c r="L22" s="369">
        <v>43214</v>
      </c>
      <c r="M22" s="323">
        <v>0.74199999999999999</v>
      </c>
      <c r="N22" s="324">
        <f>I22*M22</f>
        <v>541660</v>
      </c>
      <c r="O22" s="325">
        <f>N22-J22</f>
        <v>-20951</v>
      </c>
      <c r="P22" s="326">
        <f>O22/J22</f>
        <v>-3.7238873751135333E-2</v>
      </c>
      <c r="Q22" s="323">
        <v>0</v>
      </c>
      <c r="R22" s="327">
        <f>Q22*I22</f>
        <v>0</v>
      </c>
      <c r="S22" s="326">
        <f>Q22/F22</f>
        <v>0</v>
      </c>
      <c r="T22" s="328">
        <f>O22+R22</f>
        <v>-20951</v>
      </c>
      <c r="U22" s="329">
        <f>T22/J22</f>
        <v>-3.7238873751135333E-2</v>
      </c>
    </row>
    <row r="23" spans="2:21" ht="30" x14ac:dyDescent="0.25">
      <c r="B23" s="428"/>
      <c r="C23" s="363">
        <v>16</v>
      </c>
      <c r="D23" s="319">
        <v>43199</v>
      </c>
      <c r="E23" s="226" t="s">
        <v>175</v>
      </c>
      <c r="F23" s="226">
        <v>215.7</v>
      </c>
      <c r="G23" s="226">
        <v>10</v>
      </c>
      <c r="H23" s="226">
        <v>238</v>
      </c>
      <c r="I23" s="320">
        <f>H23*G23</f>
        <v>2380</v>
      </c>
      <c r="J23" s="321">
        <f>I23*F23</f>
        <v>513366</v>
      </c>
      <c r="K23" s="322">
        <v>0.16</v>
      </c>
      <c r="L23" s="369">
        <v>43214</v>
      </c>
      <c r="M23" s="323">
        <v>225</v>
      </c>
      <c r="N23" s="324">
        <f>I23*M23</f>
        <v>535500</v>
      </c>
      <c r="O23" s="325">
        <f>N23-J23</f>
        <v>22134</v>
      </c>
      <c r="P23" s="326">
        <f>O23/J23</f>
        <v>4.3115438108484005E-2</v>
      </c>
      <c r="Q23" s="323">
        <v>0</v>
      </c>
      <c r="R23" s="327">
        <f>Q23*I23</f>
        <v>0</v>
      </c>
      <c r="S23" s="326">
        <f>Q23/F23</f>
        <v>0</v>
      </c>
      <c r="T23" s="328">
        <f>O23+R23</f>
        <v>22134</v>
      </c>
      <c r="U23" s="329">
        <f>T23/J23</f>
        <v>4.3115438108484005E-2</v>
      </c>
    </row>
    <row r="24" spans="2:21" x14ac:dyDescent="0.25">
      <c r="B24" s="428"/>
      <c r="C24" s="343"/>
      <c r="D24" s="344"/>
      <c r="E24" s="226"/>
      <c r="F24" s="226"/>
      <c r="G24" s="226"/>
      <c r="H24" s="226"/>
      <c r="I24" s="226"/>
      <c r="J24" s="345"/>
      <c r="K24" s="346"/>
      <c r="L24" s="347"/>
      <c r="M24" s="348"/>
      <c r="N24" s="349"/>
      <c r="O24" s="350"/>
      <c r="P24" s="351"/>
      <c r="Q24" s="348"/>
      <c r="R24" s="352"/>
      <c r="S24" s="351"/>
      <c r="T24" s="353"/>
      <c r="U24" s="354"/>
    </row>
    <row r="25" spans="2:21" x14ac:dyDescent="0.25">
      <c r="B25" s="428"/>
      <c r="C25" s="343"/>
      <c r="D25" s="344"/>
      <c r="E25" s="226"/>
      <c r="F25" s="226"/>
      <c r="G25" s="226"/>
      <c r="H25" s="226"/>
      <c r="I25" s="226"/>
      <c r="J25" s="345"/>
      <c r="K25" s="346"/>
      <c r="L25" s="347"/>
      <c r="M25" s="348"/>
      <c r="N25" s="349"/>
      <c r="O25" s="350"/>
      <c r="P25" s="351"/>
      <c r="Q25" s="348"/>
      <c r="R25" s="352"/>
      <c r="S25" s="351"/>
      <c r="T25" s="353"/>
      <c r="U25" s="354"/>
    </row>
    <row r="26" spans="2:21" ht="15.75" thickBot="1" x14ac:dyDescent="0.3">
      <c r="B26" s="429"/>
      <c r="C26" s="330"/>
      <c r="D26" s="331"/>
      <c r="E26" s="332"/>
      <c r="F26" s="332"/>
      <c r="G26" s="332"/>
      <c r="H26" s="332"/>
      <c r="I26" s="332">
        <f t="shared" ref="I26" si="16">H26*G26</f>
        <v>0</v>
      </c>
      <c r="J26" s="333">
        <f t="shared" ref="J26" si="17">I26*F26</f>
        <v>0</v>
      </c>
      <c r="K26" s="334"/>
      <c r="L26" s="335"/>
      <c r="M26" s="336"/>
      <c r="N26" s="337">
        <f>I26*M26</f>
        <v>0</v>
      </c>
      <c r="O26" s="338">
        <f>N26-J26</f>
        <v>0</v>
      </c>
      <c r="P26" s="339" t="e">
        <f>O26/J26</f>
        <v>#DIV/0!</v>
      </c>
      <c r="Q26" s="336">
        <v>0</v>
      </c>
      <c r="R26" s="340">
        <f t="shared" ref="R26" si="18">Q26*I26</f>
        <v>0</v>
      </c>
      <c r="S26" s="339" t="e">
        <f t="shared" ref="S26" si="19">Q26/F26</f>
        <v>#DIV/0!</v>
      </c>
      <c r="T26" s="341">
        <f t="shared" ref="T26" si="20">O26+R26</f>
        <v>0</v>
      </c>
      <c r="U26" s="342" t="e">
        <f t="shared" ref="U26" si="21">T26/J26</f>
        <v>#DIV/0!</v>
      </c>
    </row>
    <row r="27" spans="2:21" ht="40.5" customHeight="1" thickBot="1" x14ac:dyDescent="0.3">
      <c r="B27" s="427" t="s">
        <v>57</v>
      </c>
      <c r="C27" s="382">
        <v>1</v>
      </c>
      <c r="D27" s="376">
        <v>43214</v>
      </c>
      <c r="E27" s="383" t="s">
        <v>175</v>
      </c>
      <c r="F27" s="383">
        <v>225.4</v>
      </c>
      <c r="G27" s="383">
        <v>10</v>
      </c>
      <c r="H27" s="383">
        <v>-493</v>
      </c>
      <c r="I27" s="378">
        <f>H27*G27</f>
        <v>-4930</v>
      </c>
      <c r="J27" s="380">
        <f>I27*F27</f>
        <v>-1111222</v>
      </c>
      <c r="K27" s="384">
        <v>0.33</v>
      </c>
      <c r="L27" s="56" t="s">
        <v>35</v>
      </c>
      <c r="M27" s="55">
        <v>188.71</v>
      </c>
      <c r="N27" s="98">
        <f>I27*M27</f>
        <v>-930340.3</v>
      </c>
      <c r="O27" s="99">
        <f>N27-J27</f>
        <v>180881.69999999995</v>
      </c>
      <c r="P27" s="58">
        <f>-O27/J27</f>
        <v>0.16277728482697423</v>
      </c>
      <c r="Q27" s="55">
        <v>12</v>
      </c>
      <c r="R27" s="105">
        <f>Q27*I27</f>
        <v>-59160</v>
      </c>
      <c r="S27" s="106">
        <f>Q27/F27</f>
        <v>5.3238686779059449E-2</v>
      </c>
      <c r="T27" s="107">
        <f>O27+R27</f>
        <v>121721.69999999995</v>
      </c>
      <c r="U27" s="142">
        <f>-T27/J27</f>
        <v>0.10953859804791477</v>
      </c>
    </row>
    <row r="28" spans="2:21" ht="30.75" thickBot="1" x14ac:dyDescent="0.3">
      <c r="B28" s="428"/>
      <c r="C28" s="382">
        <v>2</v>
      </c>
      <c r="D28" s="376">
        <v>43224</v>
      </c>
      <c r="E28" s="383" t="s">
        <v>175</v>
      </c>
      <c r="F28" s="383">
        <v>228</v>
      </c>
      <c r="G28" s="383">
        <v>10</v>
      </c>
      <c r="H28" s="383">
        <v>-487</v>
      </c>
      <c r="I28" s="378">
        <f>H28*G28</f>
        <v>-4870</v>
      </c>
      <c r="J28" s="380">
        <f>I28*F28</f>
        <v>-1110360</v>
      </c>
      <c r="K28" s="384">
        <v>0.33</v>
      </c>
      <c r="L28" s="56" t="s">
        <v>35</v>
      </c>
      <c r="M28" s="55">
        <v>188.71</v>
      </c>
      <c r="N28" s="98">
        <f>I28*M28</f>
        <v>-919017.70000000007</v>
      </c>
      <c r="O28" s="99">
        <f>N28-J28</f>
        <v>191342.29999999993</v>
      </c>
      <c r="P28" s="58">
        <f>-O28/J28</f>
        <v>0.17232456140350871</v>
      </c>
      <c r="Q28" s="55">
        <v>12</v>
      </c>
      <c r="R28" s="105">
        <f>Q28*I28</f>
        <v>-58440</v>
      </c>
      <c r="S28" s="106">
        <f>Q28/F28</f>
        <v>5.2631578947368418E-2</v>
      </c>
      <c r="T28" s="107">
        <f>O28+R28</f>
        <v>132902.29999999993</v>
      </c>
      <c r="U28" s="142">
        <f>-T28/J28</f>
        <v>0.11969298245614028</v>
      </c>
    </row>
    <row r="29" spans="2:21" ht="30.75" thickBot="1" x14ac:dyDescent="0.3">
      <c r="B29" s="428"/>
      <c r="C29" s="382">
        <v>3</v>
      </c>
      <c r="D29" s="376">
        <v>43224</v>
      </c>
      <c r="E29" s="383" t="s">
        <v>175</v>
      </c>
      <c r="F29" s="383">
        <v>228.25</v>
      </c>
      <c r="G29" s="383">
        <v>10</v>
      </c>
      <c r="H29" s="383">
        <v>-500</v>
      </c>
      <c r="I29" s="378">
        <f>H29*G29</f>
        <v>-5000</v>
      </c>
      <c r="J29" s="380">
        <f>I29*F29</f>
        <v>-1141250</v>
      </c>
      <c r="K29" s="384">
        <v>0.34</v>
      </c>
      <c r="L29" s="56" t="s">
        <v>35</v>
      </c>
      <c r="M29" s="55">
        <v>188.71</v>
      </c>
      <c r="N29" s="98">
        <f>I29*M29</f>
        <v>-943550</v>
      </c>
      <c r="O29" s="99">
        <f>N29-J29</f>
        <v>197700</v>
      </c>
      <c r="P29" s="58">
        <f>-O29/J29</f>
        <v>0.17323110624315444</v>
      </c>
      <c r="Q29" s="55">
        <v>12</v>
      </c>
      <c r="R29" s="105">
        <f>Q29*I29</f>
        <v>-60000</v>
      </c>
      <c r="S29" s="106">
        <f>Q29/F29</f>
        <v>5.257393209200438E-2</v>
      </c>
      <c r="T29" s="107">
        <f>O29+R29</f>
        <v>137700</v>
      </c>
      <c r="U29" s="142">
        <f>-T29/J29</f>
        <v>0.12065717415115006</v>
      </c>
    </row>
    <row r="30" spans="2:21" ht="15.75" thickBot="1" x14ac:dyDescent="0.3">
      <c r="B30" s="428"/>
      <c r="C30" s="261"/>
      <c r="D30" s="6"/>
      <c r="E30" s="92"/>
      <c r="F30" s="92"/>
      <c r="G30" s="92"/>
      <c r="H30" s="92"/>
      <c r="I30" s="7">
        <f t="shared" ref="I30:I32" si="22">H30*G30</f>
        <v>0</v>
      </c>
      <c r="J30" s="8">
        <f t="shared" ref="J30:J31" si="23">I30*F30</f>
        <v>0</v>
      </c>
      <c r="K30" s="97">
        <v>0</v>
      </c>
      <c r="L30" s="56" t="s">
        <v>35</v>
      </c>
      <c r="M30" s="55">
        <v>0</v>
      </c>
      <c r="N30" s="98">
        <f t="shared" ref="N30:N31" si="24">I30*M30</f>
        <v>0</v>
      </c>
      <c r="O30" s="99">
        <f t="shared" ref="O30:O31" si="25">N30-J30</f>
        <v>0</v>
      </c>
      <c r="P30" s="58" t="e">
        <f t="shared" ref="P30:P31" si="26">O30/J30</f>
        <v>#DIV/0!</v>
      </c>
      <c r="Q30" s="55">
        <v>0</v>
      </c>
      <c r="R30" s="105">
        <f t="shared" ref="R30:R31" si="27">Q30*I30</f>
        <v>0</v>
      </c>
      <c r="S30" s="106" t="e">
        <f t="shared" ref="S30:S31" si="28">Q30/F30</f>
        <v>#DIV/0!</v>
      </c>
      <c r="T30" s="107">
        <f t="shared" ref="T30:T31" si="29">O30+R30</f>
        <v>0</v>
      </c>
      <c r="U30" s="142" t="e">
        <f t="shared" ref="U30:U31" si="30">T30/J30</f>
        <v>#DIV/0!</v>
      </c>
    </row>
    <row r="31" spans="2:21" ht="15.75" thickBot="1" x14ac:dyDescent="0.3">
      <c r="B31" s="428"/>
      <c r="C31" s="261"/>
      <c r="D31" s="6"/>
      <c r="E31" s="92"/>
      <c r="F31" s="92"/>
      <c r="G31" s="92"/>
      <c r="H31" s="92"/>
      <c r="I31" s="7">
        <f t="shared" si="22"/>
        <v>0</v>
      </c>
      <c r="J31" s="8">
        <f t="shared" si="23"/>
        <v>0</v>
      </c>
      <c r="K31" s="97">
        <v>0</v>
      </c>
      <c r="L31" s="56" t="s">
        <v>35</v>
      </c>
      <c r="M31" s="55">
        <v>0</v>
      </c>
      <c r="N31" s="98">
        <f t="shared" si="24"/>
        <v>0</v>
      </c>
      <c r="O31" s="99">
        <f t="shared" si="25"/>
        <v>0</v>
      </c>
      <c r="P31" s="58" t="e">
        <f t="shared" si="26"/>
        <v>#DIV/0!</v>
      </c>
      <c r="Q31" s="55">
        <v>0</v>
      </c>
      <c r="R31" s="105">
        <f t="shared" si="27"/>
        <v>0</v>
      </c>
      <c r="S31" s="106" t="e">
        <f t="shared" si="28"/>
        <v>#DIV/0!</v>
      </c>
      <c r="T31" s="107">
        <f t="shared" si="29"/>
        <v>0</v>
      </c>
      <c r="U31" s="142" t="e">
        <f t="shared" si="30"/>
        <v>#DIV/0!</v>
      </c>
    </row>
    <row r="32" spans="2:21" ht="15.75" thickBot="1" x14ac:dyDescent="0.3">
      <c r="B32" s="428"/>
      <c r="C32" s="261"/>
      <c r="D32" s="6"/>
      <c r="E32" s="92"/>
      <c r="F32" s="92"/>
      <c r="G32" s="92"/>
      <c r="H32" s="92"/>
      <c r="I32" s="7">
        <f t="shared" si="22"/>
        <v>0</v>
      </c>
      <c r="J32" s="8">
        <f t="shared" ref="J32" si="31">I32*F32</f>
        <v>0</v>
      </c>
      <c r="K32" s="97">
        <v>0</v>
      </c>
      <c r="L32" s="56" t="s">
        <v>35</v>
      </c>
      <c r="M32" s="55">
        <v>0</v>
      </c>
      <c r="N32" s="98">
        <f t="shared" ref="N32" si="32">I32*M32</f>
        <v>0</v>
      </c>
      <c r="O32" s="99">
        <f t="shared" ref="O32" si="33">N32-J32</f>
        <v>0</v>
      </c>
      <c r="P32" s="58" t="e">
        <f t="shared" ref="P32" si="34">O32/J32</f>
        <v>#DIV/0!</v>
      </c>
      <c r="Q32" s="55">
        <v>0</v>
      </c>
      <c r="R32" s="105">
        <f t="shared" ref="R32" si="35">Q32*I32</f>
        <v>0</v>
      </c>
      <c r="S32" s="106" t="e">
        <f t="shared" ref="S32" si="36">Q32/F32</f>
        <v>#DIV/0!</v>
      </c>
      <c r="T32" s="107">
        <f t="shared" ref="T32" si="37">O32+R32</f>
        <v>0</v>
      </c>
      <c r="U32" s="142" t="e">
        <f t="shared" ref="U32" si="38">T32/J32</f>
        <v>#DIV/0!</v>
      </c>
    </row>
    <row r="33" spans="2:21" ht="15.75" thickBot="1" x14ac:dyDescent="0.3">
      <c r="B33" s="428"/>
      <c r="C33" s="261"/>
      <c r="D33" s="6"/>
      <c r="E33" s="92"/>
      <c r="F33" s="92"/>
      <c r="G33" s="92"/>
      <c r="H33" s="92"/>
      <c r="I33" s="7">
        <f>H33*G33</f>
        <v>0</v>
      </c>
      <c r="J33" s="8">
        <f>I33*F33</f>
        <v>0</v>
      </c>
      <c r="K33" s="97">
        <v>0</v>
      </c>
      <c r="L33" s="56" t="s">
        <v>35</v>
      </c>
      <c r="M33" s="55">
        <v>0</v>
      </c>
      <c r="N33" s="98">
        <f>I33*M33</f>
        <v>0</v>
      </c>
      <c r="O33" s="99">
        <f>N33-J33</f>
        <v>0</v>
      </c>
      <c r="P33" s="58" t="e">
        <f>O33/J33</f>
        <v>#DIV/0!</v>
      </c>
      <c r="Q33" s="55">
        <v>0</v>
      </c>
      <c r="R33" s="105">
        <f>Q33*I33</f>
        <v>0</v>
      </c>
      <c r="S33" s="106" t="e">
        <f>Q33/F33</f>
        <v>#DIV/0!</v>
      </c>
      <c r="T33" s="107">
        <f>O33+R33</f>
        <v>0</v>
      </c>
      <c r="U33" s="142" t="e">
        <f>T33/J33</f>
        <v>#DIV/0!</v>
      </c>
    </row>
    <row r="34" spans="2:21" x14ac:dyDescent="0.25">
      <c r="B34" s="428"/>
      <c r="C34" s="261"/>
      <c r="D34" s="6"/>
      <c r="E34" s="92"/>
      <c r="F34" s="92"/>
      <c r="G34" s="92"/>
      <c r="H34" s="92"/>
      <c r="I34" s="7">
        <f>H34*G34</f>
        <v>0</v>
      </c>
      <c r="J34" s="8">
        <f>I34*F34</f>
        <v>0</v>
      </c>
      <c r="K34" s="97">
        <v>0</v>
      </c>
      <c r="L34" s="56" t="s">
        <v>35</v>
      </c>
      <c r="M34" s="55">
        <v>0</v>
      </c>
      <c r="N34" s="98">
        <f>I34*M34</f>
        <v>0</v>
      </c>
      <c r="O34" s="99">
        <f>N34-J34</f>
        <v>0</v>
      </c>
      <c r="P34" s="58" t="e">
        <f>O34/J34</f>
        <v>#DIV/0!</v>
      </c>
      <c r="Q34" s="55">
        <v>0</v>
      </c>
      <c r="R34" s="105">
        <f>Q34*I34</f>
        <v>0</v>
      </c>
      <c r="S34" s="106" t="e">
        <f>Q34/F34</f>
        <v>#DIV/0!</v>
      </c>
      <c r="T34" s="107">
        <f>O34+R34</f>
        <v>0</v>
      </c>
      <c r="U34" s="142" t="e">
        <f>T34/J34</f>
        <v>#DIV/0!</v>
      </c>
    </row>
    <row r="35" spans="2:21" x14ac:dyDescent="0.25">
      <c r="B35" s="428"/>
      <c r="C35" s="372"/>
      <c r="D35" s="91"/>
      <c r="E35" s="92"/>
      <c r="F35" s="92"/>
      <c r="G35" s="92"/>
      <c r="H35" s="92"/>
      <c r="I35" s="92"/>
      <c r="J35" s="93"/>
      <c r="K35" s="251"/>
      <c r="L35" s="252"/>
      <c r="M35" s="253"/>
      <c r="N35" s="254"/>
      <c r="O35" s="255"/>
      <c r="P35" s="256"/>
      <c r="Q35" s="55"/>
      <c r="R35" s="257"/>
      <c r="S35" s="258"/>
      <c r="T35" s="259"/>
      <c r="U35" s="260"/>
    </row>
    <row r="36" spans="2:21" x14ac:dyDescent="0.25">
      <c r="B36" s="428"/>
      <c r="C36" s="90"/>
      <c r="D36" s="91"/>
      <c r="E36" s="92"/>
      <c r="F36" s="92"/>
      <c r="G36" s="92"/>
      <c r="H36" s="92"/>
      <c r="I36" s="92"/>
      <c r="J36" s="93"/>
      <c r="K36" s="251"/>
      <c r="L36" s="252"/>
      <c r="M36" s="253"/>
      <c r="N36" s="254"/>
      <c r="O36" s="255"/>
      <c r="P36" s="256"/>
      <c r="Q36" s="55"/>
      <c r="R36" s="257"/>
      <c r="S36" s="258"/>
      <c r="T36" s="259"/>
      <c r="U36" s="260"/>
    </row>
    <row r="37" spans="2:21" ht="15.75" thickBot="1" x14ac:dyDescent="0.3">
      <c r="B37" s="429"/>
      <c r="C37" s="262"/>
      <c r="D37" s="263"/>
      <c r="E37" s="264"/>
      <c r="F37" s="264"/>
      <c r="G37" s="264"/>
      <c r="H37" s="264"/>
      <c r="I37" s="264">
        <f t="shared" ref="I37" si="39">H37*G37</f>
        <v>0</v>
      </c>
      <c r="J37" s="265">
        <f t="shared" ref="J37" si="40">I37*F37</f>
        <v>0</v>
      </c>
      <c r="K37" s="266"/>
      <c r="L37" s="69" t="s">
        <v>35</v>
      </c>
      <c r="M37" s="68"/>
      <c r="N37" s="267">
        <f t="shared" ref="N37" si="41">I37*M37</f>
        <v>0</v>
      </c>
      <c r="O37" s="268">
        <f t="shared" ref="O37" si="42">N37-J37</f>
        <v>0</v>
      </c>
      <c r="P37" s="70" t="e">
        <f t="shared" ref="P37" si="43">O37/J37</f>
        <v>#DIV/0!</v>
      </c>
      <c r="Q37" s="55">
        <v>0</v>
      </c>
      <c r="R37" s="269">
        <f t="shared" ref="R37" si="44">Q37*I37</f>
        <v>0</v>
      </c>
      <c r="S37" s="270" t="e">
        <f t="shared" ref="S37" si="45">Q37/F37</f>
        <v>#DIV/0!</v>
      </c>
      <c r="T37" s="271">
        <f t="shared" ref="T37" si="46">O37+R37</f>
        <v>0</v>
      </c>
      <c r="U37" s="272" t="e">
        <f t="shared" ref="U37" si="47">T37/J37</f>
        <v>#DIV/0!</v>
      </c>
    </row>
    <row r="38" spans="2:21" x14ac:dyDescent="0.25">
      <c r="I38" s="16"/>
      <c r="J38" s="17"/>
      <c r="K38" s="42"/>
      <c r="O38" s="111"/>
      <c r="P38" s="112"/>
    </row>
    <row r="39" spans="2:21" s="18" customFormat="1" ht="15.75" x14ac:dyDescent="0.25">
      <c r="D39" s="19"/>
      <c r="I39" s="38"/>
      <c r="J39" s="39" t="e">
        <f>SUM(Jё8:J37)</f>
        <v>#NAME?</v>
      </c>
      <c r="K39" s="43"/>
      <c r="L39" s="39"/>
      <c r="M39" s="39"/>
      <c r="N39" s="39">
        <f>SUM(N8:N37)</f>
        <v>4294344.9000000004</v>
      </c>
      <c r="O39" s="143">
        <f>SUM(O8:O37)</f>
        <v>682761.4</v>
      </c>
      <c r="P39" s="144">
        <f>O39/3251220.5</f>
        <v>0.21000156710379994</v>
      </c>
      <c r="Q39" s="39"/>
      <c r="R39" s="145">
        <f>SUM(R8:R37)</f>
        <v>-177600</v>
      </c>
      <c r="S39" s="146">
        <f>R39/3251220.5</f>
        <v>-5.4625639817416256E-2</v>
      </c>
      <c r="T39" s="147">
        <f>SUM(T8:T37)</f>
        <v>505161.4</v>
      </c>
      <c r="U39" s="148">
        <f>T39/3251220.5</f>
        <v>0.15537592728638369</v>
      </c>
    </row>
    <row r="40" spans="2:21" ht="15.75" x14ac:dyDescent="0.25">
      <c r="I40" s="20"/>
      <c r="J40" s="21"/>
      <c r="K40" s="44"/>
      <c r="T40" s="52"/>
    </row>
  </sheetData>
  <mergeCells count="7">
    <mergeCell ref="B8:B26"/>
    <mergeCell ref="B27:B37"/>
    <mergeCell ref="L5:N5"/>
    <mergeCell ref="O5:P5"/>
    <mergeCell ref="T5:U5"/>
    <mergeCell ref="Q5:S5"/>
    <mergeCell ref="D5:K5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71"/>
  <sheetViews>
    <sheetView tabSelected="1" topLeftCell="A17" zoomScale="110" zoomScaleNormal="110" workbookViewId="0">
      <selection activeCell="AK8" sqref="AK8"/>
    </sheetView>
  </sheetViews>
  <sheetFormatPr defaultRowHeight="15" x14ac:dyDescent="0.25"/>
  <cols>
    <col min="1" max="1" width="9.140625" style="229"/>
    <col min="2" max="2" width="34.28515625" style="229" customWidth="1"/>
    <col min="3" max="3" width="15.28515625" style="229" customWidth="1"/>
    <col min="4" max="5" width="14.28515625" style="229" bestFit="1" customWidth="1"/>
    <col min="6" max="9" width="14.28515625" style="229" customWidth="1"/>
    <col min="10" max="10" width="12.42578125" style="229" bestFit="1" customWidth="1"/>
    <col min="11" max="11" width="12.7109375" style="229" customWidth="1"/>
    <col min="12" max="12" width="12.28515625" style="229" bestFit="1" customWidth="1"/>
    <col min="13" max="26" width="11.5703125" style="229" customWidth="1"/>
    <col min="27" max="31" width="11.42578125" style="229" customWidth="1"/>
    <col min="32" max="34" width="11.42578125" style="229" bestFit="1" customWidth="1"/>
    <col min="35" max="35" width="12" style="229" customWidth="1"/>
    <col min="36" max="41" width="11.42578125" style="229" customWidth="1"/>
    <col min="42" max="16384" width="9.140625" style="229"/>
  </cols>
  <sheetData>
    <row r="1" spans="1:42" ht="26.25" x14ac:dyDescent="0.4">
      <c r="B1" s="228" t="s">
        <v>80</v>
      </c>
      <c r="C1" s="228"/>
    </row>
    <row r="2" spans="1:42" ht="15.75" customHeight="1" x14ac:dyDescent="0.4">
      <c r="B2" s="228"/>
      <c r="C2" s="228"/>
    </row>
    <row r="3" spans="1:42" s="298" customFormat="1" ht="26.25" x14ac:dyDescent="0.4">
      <c r="A3" s="298" t="s">
        <v>149</v>
      </c>
    </row>
    <row r="4" spans="1:42" ht="15.75" customHeight="1" thickBot="1" x14ac:dyDescent="0.45">
      <c r="B4" s="228"/>
      <c r="C4" s="228"/>
    </row>
    <row r="5" spans="1:42" s="233" customFormat="1" x14ac:dyDescent="0.25">
      <c r="B5" s="230"/>
      <c r="C5" s="231"/>
      <c r="D5" s="232">
        <v>43100</v>
      </c>
      <c r="E5" s="232">
        <v>43112</v>
      </c>
      <c r="F5" s="232">
        <v>43119</v>
      </c>
      <c r="G5" s="232">
        <v>43126</v>
      </c>
      <c r="H5" s="232">
        <v>43133</v>
      </c>
      <c r="I5" s="232">
        <v>43140</v>
      </c>
      <c r="J5" s="232">
        <v>43147</v>
      </c>
      <c r="K5" s="232">
        <v>43148</v>
      </c>
      <c r="L5" s="232">
        <v>43161</v>
      </c>
      <c r="M5" s="232">
        <v>43175</v>
      </c>
      <c r="N5" s="232">
        <v>43182</v>
      </c>
      <c r="O5" s="232">
        <v>43189</v>
      </c>
      <c r="P5" s="232">
        <v>43196</v>
      </c>
      <c r="Q5" s="232">
        <v>43210</v>
      </c>
      <c r="R5" s="232">
        <v>43218</v>
      </c>
      <c r="S5" s="232">
        <v>43224</v>
      </c>
      <c r="T5" s="232">
        <v>43231</v>
      </c>
      <c r="U5" s="232">
        <v>43238</v>
      </c>
      <c r="V5" s="232">
        <v>43245</v>
      </c>
      <c r="W5" s="232">
        <v>43251</v>
      </c>
      <c r="X5" s="232">
        <v>43260</v>
      </c>
      <c r="Y5" s="232">
        <v>43266</v>
      </c>
      <c r="Z5" s="232">
        <v>43273</v>
      </c>
      <c r="AA5" s="232">
        <v>43280</v>
      </c>
      <c r="AB5" s="232">
        <v>43287</v>
      </c>
      <c r="AC5" s="232">
        <v>43294</v>
      </c>
      <c r="AD5" s="232">
        <v>43301</v>
      </c>
      <c r="AE5" s="232">
        <v>43308</v>
      </c>
      <c r="AF5" s="232">
        <v>43315</v>
      </c>
      <c r="AG5" s="232">
        <v>43322</v>
      </c>
      <c r="AH5" s="232">
        <v>43336</v>
      </c>
      <c r="AI5" s="232">
        <v>43343</v>
      </c>
      <c r="AJ5" s="232">
        <v>43350</v>
      </c>
      <c r="AK5" s="232">
        <v>43357</v>
      </c>
      <c r="AL5" s="408"/>
      <c r="AM5" s="408"/>
      <c r="AN5" s="408"/>
      <c r="AO5" s="408"/>
      <c r="AP5" s="299"/>
    </row>
    <row r="6" spans="1:42" s="412" customFormat="1" ht="12.75" x14ac:dyDescent="0.2">
      <c r="B6" s="413" t="s">
        <v>74</v>
      </c>
      <c r="C6" s="414"/>
      <c r="D6" s="415">
        <v>3251220.5</v>
      </c>
      <c r="E6" s="415">
        <v>3398997.2</v>
      </c>
      <c r="F6" s="415">
        <v>3325066</v>
      </c>
      <c r="G6" s="416">
        <v>3319624.3</v>
      </c>
      <c r="H6" s="416">
        <v>3319981.1</v>
      </c>
      <c r="I6" s="416">
        <v>3242184.7</v>
      </c>
      <c r="J6" s="416">
        <v>3326363.7</v>
      </c>
      <c r="K6" s="416">
        <v>3481481.5</v>
      </c>
      <c r="L6" s="416">
        <v>3499200.5</v>
      </c>
      <c r="M6" s="416">
        <v>3536928</v>
      </c>
      <c r="N6" s="416">
        <v>3546303.5</v>
      </c>
      <c r="O6" s="416">
        <v>3472609.5</v>
      </c>
      <c r="P6" s="416">
        <v>3472355.9000000004</v>
      </c>
      <c r="Q6" s="416">
        <v>3363302.7</v>
      </c>
      <c r="R6" s="416">
        <v>3367015.9000000004</v>
      </c>
      <c r="S6" s="416">
        <v>3344350.5400000005</v>
      </c>
      <c r="T6" s="416">
        <v>3238234.5400000005</v>
      </c>
      <c r="U6" s="416">
        <v>3438330.5400000005</v>
      </c>
      <c r="V6" s="416">
        <v>3470890.5400000005</v>
      </c>
      <c r="W6" s="416">
        <v>3435962.54</v>
      </c>
      <c r="X6" s="416">
        <v>3580410.5400000005</v>
      </c>
      <c r="Y6" s="416">
        <v>3628362.54</v>
      </c>
      <c r="Z6" s="416">
        <v>3553326.5400000005</v>
      </c>
      <c r="AA6" s="416">
        <v>3500490.5400000005</v>
      </c>
      <c r="AB6" s="416">
        <v>3371582.5400000005</v>
      </c>
      <c r="AC6" s="416">
        <v>3147510.5400000005</v>
      </c>
      <c r="AD6" s="416">
        <v>3525058.5400000005</v>
      </c>
      <c r="AE6" s="416">
        <v>3457570.5400000005</v>
      </c>
      <c r="AF6" s="416">
        <v>3556582.5400000005</v>
      </c>
      <c r="AG6" s="416">
        <v>3794270.54</v>
      </c>
      <c r="AH6" s="416">
        <v>3879518.5400000005</v>
      </c>
      <c r="AI6" s="416">
        <v>3855690.5400000005</v>
      </c>
      <c r="AJ6" s="416">
        <v>3960770.54</v>
      </c>
      <c r="AK6" s="416">
        <v>3756382.540000001</v>
      </c>
      <c r="AL6" s="416"/>
      <c r="AM6" s="416"/>
      <c r="AN6" s="416"/>
      <c r="AO6" s="416"/>
      <c r="AP6" s="417"/>
    </row>
    <row r="7" spans="1:42" s="412" customFormat="1" ht="12.75" x14ac:dyDescent="0.2">
      <c r="B7" s="413" t="s">
        <v>191</v>
      </c>
      <c r="C7" s="414"/>
      <c r="D7" s="415">
        <v>2109.7399999999998</v>
      </c>
      <c r="E7" s="415">
        <v>2262.38</v>
      </c>
      <c r="F7" s="415">
        <v>2286.33</v>
      </c>
      <c r="G7" s="416">
        <v>2295.2600000000002</v>
      </c>
      <c r="H7" s="416">
        <v>2281.84</v>
      </c>
      <c r="I7" s="416">
        <v>2197.12</v>
      </c>
      <c r="J7" s="416">
        <v>2255.27</v>
      </c>
      <c r="K7" s="416">
        <v>2336.8200000000002</v>
      </c>
      <c r="L7" s="416">
        <v>2288.84</v>
      </c>
      <c r="M7" s="416">
        <v>2294.6</v>
      </c>
      <c r="N7" s="416">
        <v>2285.5300000000002</v>
      </c>
      <c r="O7" s="416">
        <v>2270.98</v>
      </c>
      <c r="P7" s="416">
        <v>2281.23</v>
      </c>
      <c r="Q7" s="416">
        <v>2232.66</v>
      </c>
      <c r="R7" s="416">
        <v>2297.3000000000002</v>
      </c>
      <c r="S7" s="416">
        <v>2289.4699999999998</v>
      </c>
      <c r="T7" s="416">
        <v>2345.2600000000002</v>
      </c>
      <c r="U7" s="416">
        <v>2326.94</v>
      </c>
      <c r="V7" s="416">
        <v>2306.5700000000002</v>
      </c>
      <c r="W7" s="416">
        <v>2302.88</v>
      </c>
      <c r="X7" s="416">
        <v>2281.5100000000002</v>
      </c>
      <c r="Y7" s="416">
        <v>2237.5300000000002</v>
      </c>
      <c r="Z7" s="416">
        <v>2249.6799999999998</v>
      </c>
      <c r="AA7" s="416">
        <v>2295.9499999999998</v>
      </c>
      <c r="AB7" s="416">
        <v>2345.38</v>
      </c>
      <c r="AC7" s="416">
        <v>2346.4299999999998</v>
      </c>
      <c r="AD7" s="416">
        <v>2247.8200000000002</v>
      </c>
      <c r="AE7" s="416">
        <v>2292.7199999999998</v>
      </c>
      <c r="AF7" s="416">
        <v>2297.9899999999998</v>
      </c>
      <c r="AG7" s="416">
        <v>2275.0500000000002</v>
      </c>
      <c r="AH7" s="416">
        <v>2279.7600000000002</v>
      </c>
      <c r="AI7" s="416">
        <v>2345.85</v>
      </c>
      <c r="AJ7" s="416">
        <v>2321.8200000000002</v>
      </c>
      <c r="AK7" s="416">
        <v>2360.2600000000002</v>
      </c>
      <c r="AL7" s="416"/>
      <c r="AM7" s="416"/>
      <c r="AN7" s="416"/>
      <c r="AO7" s="416"/>
      <c r="AP7" s="417"/>
    </row>
    <row r="8" spans="1:42" s="238" customFormat="1" ht="15.75" x14ac:dyDescent="0.25">
      <c r="B8" s="234"/>
      <c r="C8" s="235"/>
      <c r="D8" s="236"/>
      <c r="E8" s="236"/>
      <c r="F8" s="23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37"/>
    </row>
    <row r="9" spans="1:42" s="242" customFormat="1" ht="15.75" x14ac:dyDescent="0.25">
      <c r="B9" s="239"/>
      <c r="C9" s="240"/>
      <c r="D9" s="241">
        <f t="shared" ref="D9:E9" si="0">D5</f>
        <v>43100</v>
      </c>
      <c r="E9" s="241">
        <f t="shared" si="0"/>
        <v>43112</v>
      </c>
      <c r="F9" s="241">
        <f t="shared" ref="F9:H9" si="1">F5</f>
        <v>43119</v>
      </c>
      <c r="G9" s="241">
        <f t="shared" si="1"/>
        <v>43126</v>
      </c>
      <c r="H9" s="241">
        <f t="shared" si="1"/>
        <v>43133</v>
      </c>
      <c r="I9" s="241">
        <f t="shared" ref="I9:J9" si="2">I5</f>
        <v>43140</v>
      </c>
      <c r="J9" s="241">
        <f t="shared" si="2"/>
        <v>43147</v>
      </c>
      <c r="K9" s="241">
        <f t="shared" ref="K9:L9" si="3">K5</f>
        <v>43148</v>
      </c>
      <c r="L9" s="241">
        <f t="shared" si="3"/>
        <v>43161</v>
      </c>
      <c r="M9" s="241">
        <f t="shared" ref="M9:N9" si="4">M5</f>
        <v>43175</v>
      </c>
      <c r="N9" s="241">
        <f t="shared" si="4"/>
        <v>43182</v>
      </c>
      <c r="O9" s="241">
        <f t="shared" ref="O9" si="5">O5</f>
        <v>43189</v>
      </c>
      <c r="P9" s="241">
        <f t="shared" ref="P9:U9" si="6">P5</f>
        <v>43196</v>
      </c>
      <c r="Q9" s="241">
        <f t="shared" si="6"/>
        <v>43210</v>
      </c>
      <c r="R9" s="241">
        <f t="shared" si="6"/>
        <v>43218</v>
      </c>
      <c r="S9" s="241">
        <f t="shared" si="6"/>
        <v>43224</v>
      </c>
      <c r="T9" s="241">
        <f t="shared" si="6"/>
        <v>43231</v>
      </c>
      <c r="U9" s="241">
        <f t="shared" si="6"/>
        <v>43238</v>
      </c>
      <c r="V9" s="241">
        <f t="shared" ref="V9:W9" si="7">V5</f>
        <v>43245</v>
      </c>
      <c r="W9" s="241">
        <f t="shared" si="7"/>
        <v>43251</v>
      </c>
      <c r="X9" s="241">
        <f t="shared" ref="X9:Y9" si="8">X5</f>
        <v>43260</v>
      </c>
      <c r="Y9" s="241">
        <f t="shared" si="8"/>
        <v>43266</v>
      </c>
      <c r="Z9" s="241">
        <f t="shared" ref="Z9:AA9" si="9">Z5</f>
        <v>43273</v>
      </c>
      <c r="AA9" s="241">
        <f t="shared" si="9"/>
        <v>43280</v>
      </c>
      <c r="AB9" s="241">
        <f t="shared" ref="AB9:AC9" si="10">AB5</f>
        <v>43287</v>
      </c>
      <c r="AC9" s="241">
        <f t="shared" si="10"/>
        <v>43294</v>
      </c>
      <c r="AD9" s="241">
        <f t="shared" ref="AD9:AE9" si="11">AD5</f>
        <v>43301</v>
      </c>
      <c r="AE9" s="241">
        <f t="shared" si="11"/>
        <v>43308</v>
      </c>
      <c r="AF9" s="241">
        <f t="shared" ref="AF9:AG9" si="12">AF5</f>
        <v>43315</v>
      </c>
      <c r="AG9" s="241">
        <f t="shared" si="12"/>
        <v>43322</v>
      </c>
      <c r="AH9" s="241">
        <f t="shared" ref="AH9:AI9" si="13">AH5</f>
        <v>43336</v>
      </c>
      <c r="AI9" s="241">
        <f t="shared" si="13"/>
        <v>43343</v>
      </c>
      <c r="AJ9" s="241">
        <f t="shared" ref="AJ9:AK9" si="14">AJ5</f>
        <v>43350</v>
      </c>
      <c r="AK9" s="241">
        <f t="shared" si="14"/>
        <v>43357</v>
      </c>
      <c r="AL9" s="409"/>
      <c r="AM9" s="409"/>
      <c r="AN9" s="409"/>
      <c r="AO9" s="409"/>
      <c r="AP9" s="300"/>
    </row>
    <row r="10" spans="1:42" s="246" customFormat="1" ht="31.5" x14ac:dyDescent="0.25">
      <c r="B10" s="316" t="s">
        <v>156</v>
      </c>
      <c r="C10" s="401" t="s">
        <v>193</v>
      </c>
      <c r="D10" s="245">
        <f t="shared" ref="D10:I10" si="15">D6/3251220.5-1</f>
        <v>0</v>
      </c>
      <c r="E10" s="245">
        <f t="shared" si="15"/>
        <v>4.5452684614900818E-2</v>
      </c>
      <c r="F10" s="245">
        <f t="shared" si="15"/>
        <v>2.2713162641537332E-2</v>
      </c>
      <c r="G10" s="245">
        <f t="shared" si="15"/>
        <v>2.1039421964766714E-2</v>
      </c>
      <c r="H10" s="245">
        <f t="shared" si="15"/>
        <v>2.1149165367282841E-2</v>
      </c>
      <c r="I10" s="245">
        <f t="shared" si="15"/>
        <v>-2.7792024564312623E-3</v>
      </c>
      <c r="J10" s="245">
        <f t="shared" ref="J10:K10" si="16">J6/3251220.5-1</f>
        <v>2.311230505590145E-2</v>
      </c>
      <c r="K10" s="245">
        <f t="shared" si="16"/>
        <v>7.0822941722962218E-2</v>
      </c>
      <c r="L10" s="245">
        <f t="shared" ref="L10:M10" si="17">L6/3251220.5-1</f>
        <v>7.6272895055872203E-2</v>
      </c>
      <c r="M10" s="245">
        <f t="shared" si="17"/>
        <v>8.7876998807063345E-2</v>
      </c>
      <c r="N10" s="245">
        <f t="shared" ref="N10:O10" si="18">N6/3251220.5-1</f>
        <v>9.076068510271762E-2</v>
      </c>
      <c r="O10" s="245">
        <f t="shared" si="18"/>
        <v>6.8094120346497533E-2</v>
      </c>
      <c r="P10" s="245">
        <f t="shared" ref="P10:Q10" si="19">P6/3251220.5-1</f>
        <v>6.8016118869821396E-2</v>
      </c>
      <c r="Q10" s="245">
        <f t="shared" si="19"/>
        <v>3.4473884499682583E-2</v>
      </c>
      <c r="R10" s="245">
        <f t="shared" ref="R10:S10" si="20">R6/3251220.5-1</f>
        <v>3.5615978676315718E-2</v>
      </c>
      <c r="S10" s="245">
        <f t="shared" si="20"/>
        <v>2.8644639759130675E-2</v>
      </c>
      <c r="T10" s="245">
        <f t="shared" ref="T10:U10" si="21">T6/3251220.5-1</f>
        <v>-3.9941800317756515E-3</v>
      </c>
      <c r="U10" s="245">
        <f t="shared" si="21"/>
        <v>5.7550707495846787E-2</v>
      </c>
      <c r="V10" s="245">
        <f t="shared" ref="V10:W10" si="22">V6/3251220.5-1</f>
        <v>6.7565408129039772E-2</v>
      </c>
      <c r="W10" s="245">
        <f t="shared" si="22"/>
        <v>5.6822365631614247E-2</v>
      </c>
      <c r="X10" s="245">
        <f t="shared" ref="X10:Y10" si="23">X6/3251220.5-1</f>
        <v>0.10125121934977965</v>
      </c>
      <c r="Y10" s="245">
        <f t="shared" si="23"/>
        <v>0.11600014210048193</v>
      </c>
      <c r="Z10" s="245">
        <f t="shared" ref="Z10:AA10" si="24">Z6/3251220.5-1</f>
        <v>9.2920809277623695E-2</v>
      </c>
      <c r="AA10" s="245">
        <f t="shared" si="24"/>
        <v>7.6669681431942305E-2</v>
      </c>
      <c r="AB10" s="245">
        <f t="shared" ref="AB10:AC10" si="25">AB6/3251220.5-1</f>
        <v>3.7020571197801111E-2</v>
      </c>
      <c r="AC10" s="245">
        <f t="shared" si="25"/>
        <v>-3.1898777705172465E-2</v>
      </c>
      <c r="AD10" s="245">
        <f t="shared" ref="AD10:AE10" si="26">AD6/3251220.5-1</f>
        <v>8.4226228273351689E-2</v>
      </c>
      <c r="AE10" s="245">
        <f t="shared" si="26"/>
        <v>6.34684851427334E-2</v>
      </c>
      <c r="AF10" s="245">
        <f t="shared" ref="AF10:AG10" si="27">AF6/3251220.5-1</f>
        <v>9.3922279340943104E-2</v>
      </c>
      <c r="AG10" s="245">
        <f t="shared" si="27"/>
        <v>0.16702959396325157</v>
      </c>
      <c r="AH10" s="245">
        <f t="shared" ref="AH10:AI10" si="28">AH6/3251220.5-1</f>
        <v>0.19324990107561169</v>
      </c>
      <c r="AI10" s="245">
        <f t="shared" si="28"/>
        <v>0.18592096106677491</v>
      </c>
      <c r="AJ10" s="245">
        <f t="shared" ref="AJ10:AK10" si="29">AJ6/3251220.5-1</f>
        <v>0.21824113129207934</v>
      </c>
      <c r="AK10" s="245">
        <f t="shared" si="29"/>
        <v>0.15537612413553648</v>
      </c>
      <c r="AL10" s="410"/>
      <c r="AM10" s="410"/>
      <c r="AN10" s="410"/>
      <c r="AO10" s="410"/>
      <c r="AP10" s="301"/>
    </row>
    <row r="11" spans="1:42" s="246" customFormat="1" ht="32.25" thickBot="1" x14ac:dyDescent="0.3">
      <c r="B11" s="317" t="s">
        <v>189</v>
      </c>
      <c r="C11" s="400" t="s">
        <v>192</v>
      </c>
      <c r="D11" s="249">
        <f t="shared" ref="D11:I11" si="30">D7/2109.74-1</f>
        <v>0</v>
      </c>
      <c r="E11" s="249">
        <f t="shared" si="30"/>
        <v>7.2350147411529564E-2</v>
      </c>
      <c r="F11" s="249">
        <f t="shared" si="30"/>
        <v>8.3702257150170212E-2</v>
      </c>
      <c r="G11" s="249">
        <f t="shared" si="30"/>
        <v>8.7935006209296063E-2</v>
      </c>
      <c r="H11" s="249">
        <f t="shared" si="30"/>
        <v>8.1574032819210052E-2</v>
      </c>
      <c r="I11" s="249">
        <f t="shared" si="30"/>
        <v>4.1417425843942812E-2</v>
      </c>
      <c r="J11" s="249">
        <f t="shared" ref="J11:K11" si="31">J7/2109.74-1</f>
        <v>6.898006389412914E-2</v>
      </c>
      <c r="K11" s="249">
        <f t="shared" si="31"/>
        <v>0.10763411605221518</v>
      </c>
      <c r="L11" s="249">
        <f t="shared" ref="L11:M11" si="32">L7/2109.74-1</f>
        <v>8.4891977210462155E-2</v>
      </c>
      <c r="M11" s="249">
        <f t="shared" si="32"/>
        <v>8.7622171452406583E-2</v>
      </c>
      <c r="N11" s="249">
        <f t="shared" ref="N11:O11" si="33">N7/2109.74-1</f>
        <v>8.3323063505455819E-2</v>
      </c>
      <c r="O11" s="249">
        <f t="shared" si="33"/>
        <v>7.6426479092210453E-2</v>
      </c>
      <c r="P11" s="249">
        <f t="shared" ref="P11:Q11" si="34">P7/2109.74-1</f>
        <v>8.1284897665115263E-2</v>
      </c>
      <c r="Q11" s="249">
        <f t="shared" si="34"/>
        <v>5.8263103510385106E-2</v>
      </c>
      <c r="R11" s="249">
        <f t="shared" ref="R11:S11" si="35">R7/2109.74-1</f>
        <v>8.8901950003318131E-2</v>
      </c>
      <c r="S11" s="249">
        <f t="shared" si="35"/>
        <v>8.5190592205674598E-2</v>
      </c>
      <c r="T11" s="249">
        <f t="shared" ref="T11:U11" si="36">T7/2109.74-1</f>
        <v>0.11163460900395328</v>
      </c>
      <c r="U11" s="249">
        <f t="shared" si="36"/>
        <v>0.10295107453999086</v>
      </c>
      <c r="V11" s="249">
        <f t="shared" ref="V11:W11" si="37">V7/2109.74-1</f>
        <v>9.329585636144766E-2</v>
      </c>
      <c r="W11" s="249">
        <f t="shared" si="37"/>
        <v>9.1546825675201893E-2</v>
      </c>
      <c r="X11" s="249">
        <f t="shared" ref="X11:Y11" si="38">X7/2109.74-1</f>
        <v>8.1417615440765534E-2</v>
      </c>
      <c r="Y11" s="249">
        <f t="shared" si="38"/>
        <v>6.0571444822584919E-2</v>
      </c>
      <c r="Z11" s="249">
        <f t="shared" ref="Z11:AA11" si="39">Z7/2109.74-1</f>
        <v>6.633044830168644E-2</v>
      </c>
      <c r="AA11" s="249">
        <f t="shared" si="39"/>
        <v>8.8262060727862135E-2</v>
      </c>
      <c r="AB11" s="249">
        <f t="shared" ref="AB11:AC11" si="40">AB7/2109.74-1</f>
        <v>0.11169148805066054</v>
      </c>
      <c r="AC11" s="249">
        <f t="shared" si="40"/>
        <v>0.11218917970934816</v>
      </c>
      <c r="AD11" s="249">
        <f t="shared" ref="AD11:AE11" si="41">AD7/2109.74-1</f>
        <v>6.5448823077725482E-2</v>
      </c>
      <c r="AE11" s="249">
        <f t="shared" si="41"/>
        <v>8.6731066387327305E-2</v>
      </c>
      <c r="AF11" s="249">
        <f t="shared" ref="AF11:AG11" si="42">AF7/2109.74-1</f>
        <v>8.9229004521884203E-2</v>
      </c>
      <c r="AG11" s="249">
        <f t="shared" si="42"/>
        <v>7.8355626759695651E-2</v>
      </c>
      <c r="AH11" s="249">
        <f t="shared" ref="AH11:AI11" si="43">AH7/2109.74-1</f>
        <v>8.0588129342952453E-2</v>
      </c>
      <c r="AI11" s="249">
        <f t="shared" si="43"/>
        <v>0.11191426431693019</v>
      </c>
      <c r="AJ11" s="249">
        <f t="shared" ref="AJ11:AK11" si="44">AJ7/2109.74-1</f>
        <v>0.10052423521381804</v>
      </c>
      <c r="AK11" s="249">
        <f t="shared" si="44"/>
        <v>0.11874448984235042</v>
      </c>
      <c r="AL11" s="411"/>
      <c r="AM11" s="411"/>
      <c r="AN11" s="411"/>
      <c r="AO11" s="411"/>
      <c r="AP11" s="302"/>
    </row>
    <row r="12" spans="1:42" s="418" customFormat="1" ht="15.75" customHeight="1" x14ac:dyDescent="0.2">
      <c r="B12" s="418" t="s">
        <v>167</v>
      </c>
      <c r="E12" s="419">
        <f t="shared" ref="E12:I12" si="45">(1+E10)/(1+D10)-1</f>
        <v>4.5452684614900818E-2</v>
      </c>
      <c r="F12" s="419">
        <f t="shared" si="45"/>
        <v>-2.1750885820088328E-2</v>
      </c>
      <c r="G12" s="419">
        <f t="shared" si="45"/>
        <v>-1.6365690184797499E-3</v>
      </c>
      <c r="H12" s="419">
        <f t="shared" si="45"/>
        <v>1.0748204247090776E-4</v>
      </c>
      <c r="I12" s="419">
        <f t="shared" si="45"/>
        <v>-2.3432783999884688E-2</v>
      </c>
      <c r="J12" s="419">
        <f t="shared" ref="J12:L13" si="46">(1+J10)/(1+I10)-1</f>
        <v>2.5963665796091107E-2</v>
      </c>
      <c r="K12" s="419">
        <f t="shared" si="46"/>
        <v>4.6632844147499464E-2</v>
      </c>
      <c r="L12" s="419">
        <f t="shared" si="46"/>
        <v>5.0894999729282908E-3</v>
      </c>
      <c r="M12" s="419">
        <f t="shared" ref="M12:AK12" si="47">(1+M10)/(1+L10)-1</f>
        <v>1.0781748573709837E-2</v>
      </c>
      <c r="N12" s="419">
        <f t="shared" si="47"/>
        <v>2.650746636629453E-3</v>
      </c>
      <c r="O12" s="419">
        <f t="shared" si="47"/>
        <v>-2.0780511312695094E-2</v>
      </c>
      <c r="P12" s="419">
        <f t="shared" si="47"/>
        <v>-7.3028654675844074E-5</v>
      </c>
      <c r="Q12" s="419">
        <f t="shared" si="47"/>
        <v>-3.1406112489793969E-2</v>
      </c>
      <c r="R12" s="419">
        <f t="shared" si="47"/>
        <v>1.1040338414975981E-3</v>
      </c>
      <c r="S12" s="419">
        <f t="shared" si="47"/>
        <v>-6.7315868630141162E-3</v>
      </c>
      <c r="T12" s="419">
        <f t="shared" si="47"/>
        <v>-3.1729927449531181E-2</v>
      </c>
      <c r="U12" s="419">
        <f t="shared" si="47"/>
        <v>6.1791694680645382E-2</v>
      </c>
      <c r="V12" s="419">
        <f t="shared" si="47"/>
        <v>9.4697120073861107E-3</v>
      </c>
      <c r="W12" s="419">
        <f t="shared" si="47"/>
        <v>-1.0063123454190248E-2</v>
      </c>
      <c r="X12" s="419">
        <f t="shared" si="47"/>
        <v>4.2040039237447813E-2</v>
      </c>
      <c r="Y12" s="419">
        <f t="shared" si="47"/>
        <v>1.3392877566492656E-2</v>
      </c>
      <c r="Z12" s="419">
        <f t="shared" si="47"/>
        <v>-2.0680403122009805E-2</v>
      </c>
      <c r="AA12" s="419">
        <f t="shared" si="47"/>
        <v>-1.4869446814195775E-2</v>
      </c>
      <c r="AB12" s="419">
        <f t="shared" si="47"/>
        <v>-3.682569586375728E-2</v>
      </c>
      <c r="AC12" s="419">
        <f t="shared" si="47"/>
        <v>-6.6458998805943525E-2</v>
      </c>
      <c r="AD12" s="419">
        <f t="shared" si="47"/>
        <v>0.11995130602485626</v>
      </c>
      <c r="AE12" s="419">
        <f t="shared" si="47"/>
        <v>-1.9145213968560171E-2</v>
      </c>
      <c r="AF12" s="419">
        <f t="shared" si="47"/>
        <v>2.8636292117412809E-2</v>
      </c>
      <c r="AG12" s="419">
        <f t="shared" si="47"/>
        <v>6.6830446735533622E-2</v>
      </c>
      <c r="AH12" s="419">
        <f t="shared" si="47"/>
        <v>2.2467559732838982E-2</v>
      </c>
      <c r="AI12" s="419">
        <f t="shared" si="47"/>
        <v>-6.1419992595267425E-3</v>
      </c>
      <c r="AJ12" s="419">
        <f t="shared" si="47"/>
        <v>2.7253224528750453E-2</v>
      </c>
      <c r="AK12" s="419">
        <f t="shared" si="47"/>
        <v>-5.1603090342112745E-2</v>
      </c>
      <c r="AL12" s="419"/>
      <c r="AM12" s="419"/>
      <c r="AN12" s="419"/>
      <c r="AO12" s="419"/>
    </row>
    <row r="13" spans="1:42" s="418" customFormat="1" ht="15.75" customHeight="1" x14ac:dyDescent="0.2">
      <c r="B13" s="418" t="s">
        <v>190</v>
      </c>
      <c r="E13" s="419">
        <f t="shared" ref="E13:I13" si="48">(1+E11)/(1+D11)-1</f>
        <v>7.2350147411529564E-2</v>
      </c>
      <c r="F13" s="419">
        <f t="shared" si="48"/>
        <v>1.0586196836959161E-2</v>
      </c>
      <c r="G13" s="419">
        <f t="shared" si="48"/>
        <v>3.9058228689647922E-3</v>
      </c>
      <c r="H13" s="419">
        <f t="shared" si="48"/>
        <v>-5.8468321671618639E-3</v>
      </c>
      <c r="I13" s="419">
        <f t="shared" si="48"/>
        <v>-3.7127931844476492E-2</v>
      </c>
      <c r="J13" s="419">
        <f t="shared" si="46"/>
        <v>2.6466465190795319E-2</v>
      </c>
      <c r="K13" s="419">
        <f t="shared" si="46"/>
        <v>3.6159750273803359E-2</v>
      </c>
      <c r="L13" s="419">
        <f t="shared" si="46"/>
        <v>-2.0532176205270369E-2</v>
      </c>
      <c r="M13" s="419">
        <f t="shared" ref="M13:AK13" si="49">(1+M11)/(1+L11)-1</f>
        <v>2.5165586061060008E-3</v>
      </c>
      <c r="N13" s="419">
        <f t="shared" si="49"/>
        <v>-3.9527586507451806E-3</v>
      </c>
      <c r="O13" s="419">
        <f t="shared" si="49"/>
        <v>-6.3661382698981805E-3</v>
      </c>
      <c r="P13" s="419">
        <f t="shared" si="49"/>
        <v>4.5134699557021207E-3</v>
      </c>
      <c r="Q13" s="419">
        <f t="shared" si="49"/>
        <v>-2.1291145566207925E-2</v>
      </c>
      <c r="R13" s="419">
        <f t="shared" si="49"/>
        <v>2.8952012397768012E-2</v>
      </c>
      <c r="S13" s="419">
        <f t="shared" si="49"/>
        <v>-3.4083489313544435E-3</v>
      </c>
      <c r="T13" s="419">
        <f t="shared" si="49"/>
        <v>2.4368085190022315E-2</v>
      </c>
      <c r="U13" s="419">
        <f t="shared" si="49"/>
        <v>-7.811500643851832E-3</v>
      </c>
      <c r="V13" s="419">
        <f t="shared" si="49"/>
        <v>-8.753985921424623E-3</v>
      </c>
      <c r="W13" s="419">
        <f t="shared" si="49"/>
        <v>-1.5997780253796945E-3</v>
      </c>
      <c r="X13" s="419">
        <f t="shared" si="49"/>
        <v>-9.2796845688875029E-3</v>
      </c>
      <c r="Y13" s="419">
        <f t="shared" si="49"/>
        <v>-1.927670709310958E-2</v>
      </c>
      <c r="Z13" s="419">
        <f t="shared" si="49"/>
        <v>5.4300947920249421E-3</v>
      </c>
      <c r="AA13" s="419">
        <f t="shared" si="49"/>
        <v>2.0567369581451445E-2</v>
      </c>
      <c r="AB13" s="419">
        <f t="shared" si="49"/>
        <v>2.1529214486378567E-2</v>
      </c>
      <c r="AC13" s="419">
        <f t="shared" si="49"/>
        <v>4.4768864746846937E-4</v>
      </c>
      <c r="AD13" s="419">
        <f t="shared" si="49"/>
        <v>-4.2025545189926627E-2</v>
      </c>
      <c r="AE13" s="419">
        <f t="shared" si="49"/>
        <v>1.9974909022964171E-2</v>
      </c>
      <c r="AF13" s="419">
        <f t="shared" si="49"/>
        <v>2.2985798527512813E-3</v>
      </c>
      <c r="AG13" s="419">
        <f t="shared" si="49"/>
        <v>-9.9826370001608877E-3</v>
      </c>
      <c r="AH13" s="419">
        <f t="shared" si="49"/>
        <v>2.0702841695787733E-3</v>
      </c>
      <c r="AI13" s="419">
        <f t="shared" si="49"/>
        <v>2.8989893673018186E-2</v>
      </c>
      <c r="AJ13" s="419">
        <f t="shared" si="49"/>
        <v>-1.0243621714943307E-2</v>
      </c>
      <c r="AK13" s="419">
        <f t="shared" si="49"/>
        <v>1.6555977638232022E-2</v>
      </c>
      <c r="AL13" s="419"/>
      <c r="AM13" s="419"/>
      <c r="AN13" s="419"/>
      <c r="AO13" s="419"/>
    </row>
    <row r="14" spans="1:42" ht="15.75" customHeight="1" x14ac:dyDescent="0.4">
      <c r="B14" s="228"/>
      <c r="C14" s="228"/>
    </row>
    <row r="15" spans="1:42" ht="15.75" customHeight="1" x14ac:dyDescent="0.4">
      <c r="B15" s="228"/>
      <c r="C15" s="228"/>
    </row>
    <row r="16" spans="1:42" ht="15.75" customHeight="1" x14ac:dyDescent="0.4">
      <c r="B16" s="228"/>
      <c r="C16" s="228"/>
    </row>
    <row r="17" spans="2:3" ht="15.75" customHeight="1" x14ac:dyDescent="0.4">
      <c r="B17" s="228"/>
      <c r="C17" s="228"/>
    </row>
    <row r="18" spans="2:3" ht="15.75" customHeight="1" x14ac:dyDescent="0.4">
      <c r="B18" s="228"/>
      <c r="C18" s="228"/>
    </row>
    <row r="19" spans="2:3" ht="15.75" customHeight="1" x14ac:dyDescent="0.4">
      <c r="B19" s="228"/>
      <c r="C19" s="228"/>
    </row>
    <row r="20" spans="2:3" ht="15.75" customHeight="1" x14ac:dyDescent="0.4">
      <c r="B20" s="228"/>
      <c r="C20" s="228"/>
    </row>
    <row r="21" spans="2:3" ht="15.75" customHeight="1" x14ac:dyDescent="0.4">
      <c r="B21" s="228"/>
      <c r="C21" s="228"/>
    </row>
    <row r="22" spans="2:3" ht="15.75" customHeight="1" x14ac:dyDescent="0.4">
      <c r="B22" s="228"/>
      <c r="C22" s="228"/>
    </row>
    <row r="23" spans="2:3" ht="15.75" customHeight="1" x14ac:dyDescent="0.4">
      <c r="B23" s="228"/>
      <c r="C23" s="228"/>
    </row>
    <row r="24" spans="2:3" ht="15.75" customHeight="1" x14ac:dyDescent="0.4">
      <c r="B24" s="228"/>
      <c r="C24" s="228"/>
    </row>
    <row r="25" spans="2:3" ht="15.75" customHeight="1" x14ac:dyDescent="0.4">
      <c r="B25" s="228"/>
      <c r="C25" s="228"/>
    </row>
    <row r="26" spans="2:3" ht="15.75" customHeight="1" x14ac:dyDescent="0.4">
      <c r="B26" s="228"/>
      <c r="C26" s="228"/>
    </row>
    <row r="27" spans="2:3" ht="15.75" customHeight="1" x14ac:dyDescent="0.4">
      <c r="B27" s="228"/>
      <c r="C27" s="228"/>
    </row>
    <row r="28" spans="2:3" ht="15.75" customHeight="1" x14ac:dyDescent="0.4">
      <c r="B28" s="228"/>
      <c r="C28" s="228"/>
    </row>
    <row r="29" spans="2:3" ht="15.75" customHeight="1" x14ac:dyDescent="0.4">
      <c r="B29" s="228"/>
      <c r="C29" s="228"/>
    </row>
    <row r="30" spans="2:3" ht="15.75" customHeight="1" x14ac:dyDescent="0.4">
      <c r="B30" s="228"/>
      <c r="C30" s="228"/>
    </row>
    <row r="31" spans="2:3" ht="15.75" customHeight="1" x14ac:dyDescent="0.4">
      <c r="B31" s="228"/>
      <c r="C31" s="228"/>
    </row>
    <row r="32" spans="2:3" ht="15.75" customHeight="1" x14ac:dyDescent="0.4">
      <c r="B32" s="228"/>
      <c r="C32" s="228"/>
    </row>
    <row r="33" spans="1:25" ht="15.75" customHeight="1" x14ac:dyDescent="0.4">
      <c r="B33" s="228"/>
      <c r="C33" s="228"/>
    </row>
    <row r="34" spans="1:25" ht="15.75" customHeight="1" x14ac:dyDescent="0.4">
      <c r="B34" s="228"/>
      <c r="C34" s="228"/>
    </row>
    <row r="35" spans="1:25" ht="15.75" customHeight="1" x14ac:dyDescent="0.4">
      <c r="B35" s="228"/>
      <c r="C35" s="228"/>
    </row>
    <row r="36" spans="1:25" s="250" customFormat="1" x14ac:dyDescent="0.25">
      <c r="B36" s="250" t="s">
        <v>81</v>
      </c>
    </row>
    <row r="37" spans="1:25" s="250" customFormat="1" x14ac:dyDescent="0.25"/>
    <row r="38" spans="1:25" s="250" customFormat="1" x14ac:dyDescent="0.25"/>
    <row r="39" spans="1:25" s="298" customFormat="1" ht="26.25" x14ac:dyDescent="0.4">
      <c r="A39" s="298" t="s">
        <v>150</v>
      </c>
    </row>
    <row r="40" spans="1:25" ht="15.75" thickBot="1" x14ac:dyDescent="0.3"/>
    <row r="41" spans="1:25" s="233" customFormat="1" x14ac:dyDescent="0.25">
      <c r="B41" s="230"/>
      <c r="C41" s="231"/>
      <c r="D41" s="232">
        <v>42804</v>
      </c>
      <c r="E41" s="232">
        <v>42947</v>
      </c>
      <c r="F41" s="232">
        <v>42958</v>
      </c>
      <c r="G41" s="232">
        <v>42965</v>
      </c>
      <c r="H41" s="232">
        <v>42972</v>
      </c>
      <c r="I41" s="232">
        <v>42978</v>
      </c>
      <c r="J41" s="232">
        <v>42986</v>
      </c>
      <c r="K41" s="232">
        <v>42993</v>
      </c>
      <c r="L41" s="232">
        <v>43000</v>
      </c>
      <c r="M41" s="232">
        <v>43007</v>
      </c>
      <c r="N41" s="232">
        <v>43014</v>
      </c>
      <c r="O41" s="232">
        <v>43021</v>
      </c>
      <c r="P41" s="232">
        <v>43028</v>
      </c>
      <c r="Q41" s="232">
        <v>43035</v>
      </c>
      <c r="R41" s="232">
        <v>43042</v>
      </c>
      <c r="S41" s="232">
        <v>43049</v>
      </c>
      <c r="T41" s="232">
        <v>43056</v>
      </c>
      <c r="U41" s="232">
        <v>43063</v>
      </c>
      <c r="V41" s="232">
        <v>43077</v>
      </c>
      <c r="W41" s="232">
        <v>43084</v>
      </c>
      <c r="X41" s="232">
        <v>43085</v>
      </c>
      <c r="Y41" s="232">
        <v>43100</v>
      </c>
    </row>
    <row r="42" spans="1:25" s="238" customFormat="1" ht="15.75" x14ac:dyDescent="0.25">
      <c r="B42" s="234" t="s">
        <v>74</v>
      </c>
      <c r="C42" s="235"/>
      <c r="D42" s="236">
        <v>3000000</v>
      </c>
      <c r="E42" s="236">
        <v>3294488.2799999993</v>
      </c>
      <c r="F42" s="236">
        <v>3375668.88</v>
      </c>
      <c r="G42" s="236">
        <v>3392604.2799999993</v>
      </c>
      <c r="H42" s="236">
        <v>3564929.1799999997</v>
      </c>
      <c r="I42" s="236">
        <v>3679742.6799999997</v>
      </c>
      <c r="J42" s="236">
        <v>3582958.5799999991</v>
      </c>
      <c r="K42" s="236">
        <v>3585190.0799999991</v>
      </c>
      <c r="L42" s="236">
        <v>3559122.38</v>
      </c>
      <c r="M42" s="236">
        <v>3568537.4799999995</v>
      </c>
      <c r="N42" s="276">
        <v>3562722.08</v>
      </c>
      <c r="O42" s="276">
        <v>3584889.08</v>
      </c>
      <c r="P42" s="276">
        <v>3566379.58</v>
      </c>
      <c r="Q42" s="236">
        <v>3584447.2800000007</v>
      </c>
      <c r="R42" s="236">
        <v>3493456.9800000009</v>
      </c>
      <c r="S42" s="236">
        <v>3497019.080000001</v>
      </c>
      <c r="T42" s="236">
        <v>3433549.6800000011</v>
      </c>
      <c r="U42" s="276">
        <v>3465520.6800000006</v>
      </c>
      <c r="V42" s="276">
        <v>3318072.6800000006</v>
      </c>
      <c r="W42" s="276">
        <v>3377806.4800000004</v>
      </c>
      <c r="X42" s="276">
        <v>3311373.1800000006</v>
      </c>
      <c r="Y42" s="237">
        <v>3399695.9800000004</v>
      </c>
    </row>
    <row r="43" spans="1:25" s="238" customFormat="1" ht="15.75" x14ac:dyDescent="0.25">
      <c r="B43" s="234" t="s">
        <v>75</v>
      </c>
      <c r="C43" s="235"/>
      <c r="D43" s="236">
        <v>1973.96</v>
      </c>
      <c r="E43" s="236">
        <v>1919.53</v>
      </c>
      <c r="F43" s="236">
        <v>1944.83</v>
      </c>
      <c r="G43" s="236">
        <v>1930.71</v>
      </c>
      <c r="H43" s="236">
        <v>1979.14</v>
      </c>
      <c r="I43" s="236">
        <v>2022.22</v>
      </c>
      <c r="J43" s="236">
        <v>2032.75</v>
      </c>
      <c r="K43" s="236">
        <v>2053.81</v>
      </c>
      <c r="L43" s="236">
        <v>2051.63</v>
      </c>
      <c r="M43" s="236">
        <v>2077.1999999999998</v>
      </c>
      <c r="N43" s="276">
        <v>2093.86</v>
      </c>
      <c r="O43" s="276">
        <v>2098.77</v>
      </c>
      <c r="P43" s="276">
        <v>2071.83</v>
      </c>
      <c r="Q43" s="236">
        <v>2068.7600000000002</v>
      </c>
      <c r="R43" s="236">
        <v>2081.15</v>
      </c>
      <c r="S43" s="236">
        <v>2169.2600000000002</v>
      </c>
      <c r="T43" s="236">
        <v>2131.91</v>
      </c>
      <c r="U43" s="276">
        <v>2161.17</v>
      </c>
      <c r="V43" s="276">
        <v>2104.9899999999998</v>
      </c>
      <c r="W43" s="276">
        <v>2143.9899999999998</v>
      </c>
      <c r="X43" s="276">
        <v>2102.94</v>
      </c>
      <c r="Y43" s="237">
        <v>2109.7399999999998</v>
      </c>
    </row>
    <row r="44" spans="1:25" s="238" customFormat="1" ht="15.75" x14ac:dyDescent="0.25">
      <c r="B44" s="234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76"/>
      <c r="O44" s="276"/>
      <c r="P44" s="276"/>
      <c r="Q44" s="236"/>
      <c r="R44" s="236"/>
      <c r="S44" s="236"/>
      <c r="T44" s="236"/>
      <c r="U44" s="276"/>
      <c r="V44" s="276"/>
      <c r="W44" s="276"/>
      <c r="X44" s="276"/>
      <c r="Y44" s="237"/>
    </row>
    <row r="45" spans="1:25" s="242" customFormat="1" ht="15.75" x14ac:dyDescent="0.25">
      <c r="B45" s="239"/>
      <c r="C45" s="240"/>
      <c r="D45" s="241">
        <f t="shared" ref="D45:L45" si="50">D41</f>
        <v>42804</v>
      </c>
      <c r="E45" s="241">
        <f t="shared" si="50"/>
        <v>42947</v>
      </c>
      <c r="F45" s="241">
        <f t="shared" si="50"/>
        <v>42958</v>
      </c>
      <c r="G45" s="241">
        <f t="shared" si="50"/>
        <v>42965</v>
      </c>
      <c r="H45" s="241">
        <f t="shared" si="50"/>
        <v>42972</v>
      </c>
      <c r="I45" s="241">
        <f t="shared" si="50"/>
        <v>42978</v>
      </c>
      <c r="J45" s="241">
        <f t="shared" si="50"/>
        <v>42986</v>
      </c>
      <c r="K45" s="241">
        <f t="shared" si="50"/>
        <v>42993</v>
      </c>
      <c r="L45" s="241">
        <f t="shared" si="50"/>
        <v>43000</v>
      </c>
      <c r="M45" s="241">
        <f t="shared" ref="M45:N45" si="51">M41</f>
        <v>43007</v>
      </c>
      <c r="N45" s="241">
        <f t="shared" si="51"/>
        <v>43014</v>
      </c>
      <c r="O45" s="241">
        <f t="shared" ref="O45:P45" si="52">O41</f>
        <v>43021</v>
      </c>
      <c r="P45" s="241">
        <f t="shared" si="52"/>
        <v>43028</v>
      </c>
      <c r="Q45" s="241">
        <f t="shared" ref="Q45" si="53">Q41</f>
        <v>43035</v>
      </c>
      <c r="R45" s="241">
        <f t="shared" ref="R45:S45" si="54">R41</f>
        <v>43042</v>
      </c>
      <c r="S45" s="241">
        <f t="shared" si="54"/>
        <v>43049</v>
      </c>
      <c r="T45" s="241">
        <f t="shared" ref="T45:U45" si="55">T41</f>
        <v>43056</v>
      </c>
      <c r="U45" s="241">
        <f t="shared" si="55"/>
        <v>43063</v>
      </c>
      <c r="V45" s="241">
        <f t="shared" ref="V45:W45" si="56">V41</f>
        <v>43077</v>
      </c>
      <c r="W45" s="241">
        <f t="shared" si="56"/>
        <v>43084</v>
      </c>
      <c r="X45" s="241">
        <f t="shared" ref="X45:Y45" si="57">X41</f>
        <v>43085</v>
      </c>
      <c r="Y45" s="241">
        <f t="shared" si="57"/>
        <v>43100</v>
      </c>
    </row>
    <row r="46" spans="1:25" s="246" customFormat="1" ht="47.25" x14ac:dyDescent="0.25">
      <c r="B46" s="243" t="s">
        <v>76</v>
      </c>
      <c r="C46" s="244" t="s">
        <v>78</v>
      </c>
      <c r="D46" s="245">
        <f t="shared" ref="D46:I46" si="58">D42/3000000-1</f>
        <v>0</v>
      </c>
      <c r="E46" s="245">
        <f t="shared" si="58"/>
        <v>9.8162759999999682E-2</v>
      </c>
      <c r="F46" s="245">
        <f t="shared" si="58"/>
        <v>0.12522295999999988</v>
      </c>
      <c r="G46" s="245">
        <f t="shared" si="58"/>
        <v>0.13086809333333305</v>
      </c>
      <c r="H46" s="245">
        <f t="shared" si="58"/>
        <v>0.18830972666666668</v>
      </c>
      <c r="I46" s="245">
        <f t="shared" si="58"/>
        <v>0.22658089333333331</v>
      </c>
      <c r="J46" s="245">
        <f t="shared" ref="J46:K46" si="59">J42/3000000-1</f>
        <v>0.19431952666666641</v>
      </c>
      <c r="K46" s="245">
        <f t="shared" si="59"/>
        <v>0.1950633599999998</v>
      </c>
      <c r="L46" s="245">
        <f t="shared" ref="L46:M46" si="60">L42/3000000-1</f>
        <v>0.18637412666666653</v>
      </c>
      <c r="M46" s="245">
        <f t="shared" si="60"/>
        <v>0.1895124933333332</v>
      </c>
      <c r="N46" s="245">
        <f t="shared" ref="N46:O46" si="61">N42/3000000-1</f>
        <v>0.18757402666666678</v>
      </c>
      <c r="O46" s="245">
        <f t="shared" si="61"/>
        <v>0.19496302666666665</v>
      </c>
      <c r="P46" s="245">
        <f t="shared" ref="P46" si="62">P42/3000000-1</f>
        <v>0.18879319333333333</v>
      </c>
      <c r="Q46" s="245">
        <f t="shared" ref="Q46" si="63">Q42/3000000-1</f>
        <v>0.19481576000000023</v>
      </c>
      <c r="R46" s="245">
        <f t="shared" ref="R46:S46" si="64">R42/3000000-1</f>
        <v>0.1644856600000002</v>
      </c>
      <c r="S46" s="245">
        <f t="shared" si="64"/>
        <v>0.16567302666666706</v>
      </c>
      <c r="T46" s="245">
        <f t="shared" ref="T46:U46" si="65">T42/3000000-1</f>
        <v>0.14451656000000046</v>
      </c>
      <c r="U46" s="245">
        <f t="shared" si="65"/>
        <v>0.15517356000000015</v>
      </c>
      <c r="V46" s="245">
        <f t="shared" ref="V46:W46" si="66">V42/3000000-1</f>
        <v>0.10602422666666689</v>
      </c>
      <c r="W46" s="245">
        <f t="shared" si="66"/>
        <v>0.12593549333333343</v>
      </c>
      <c r="X46" s="245">
        <f t="shared" ref="X46:Y46" si="67">X42/3000000-1</f>
        <v>0.10379106000000027</v>
      </c>
      <c r="Y46" s="245">
        <f t="shared" si="67"/>
        <v>0.13323199333333346</v>
      </c>
    </row>
    <row r="47" spans="1:25" s="246" customFormat="1" ht="32.25" thickBot="1" x14ac:dyDescent="0.3">
      <c r="B47" s="247" t="s">
        <v>77</v>
      </c>
      <c r="C47" s="248" t="s">
        <v>79</v>
      </c>
      <c r="D47" s="249">
        <f t="shared" ref="D47:I47" si="68">D43/1973.96-1</f>
        <v>0</v>
      </c>
      <c r="E47" s="249">
        <f t="shared" si="68"/>
        <v>-2.7574013657824858E-2</v>
      </c>
      <c r="F47" s="249">
        <f t="shared" si="68"/>
        <v>-1.4757137935925813E-2</v>
      </c>
      <c r="G47" s="249">
        <f t="shared" si="68"/>
        <v>-2.1910271738029174E-2</v>
      </c>
      <c r="H47" s="249">
        <f t="shared" si="68"/>
        <v>2.6241666497801575E-3</v>
      </c>
      <c r="I47" s="249">
        <f t="shared" si="68"/>
        <v>2.4448317088492155E-2</v>
      </c>
      <c r="J47" s="249">
        <f t="shared" ref="J47:K47" si="69">J43/1973.96-1</f>
        <v>2.9782771687369536E-2</v>
      </c>
      <c r="K47" s="249">
        <f t="shared" si="69"/>
        <v>4.0451680885124297E-2</v>
      </c>
      <c r="L47" s="249">
        <f t="shared" ref="L47:M47" si="70">L43/1973.96-1</f>
        <v>3.9347301870352069E-2</v>
      </c>
      <c r="M47" s="249">
        <f t="shared" si="70"/>
        <v>5.2300958479401638E-2</v>
      </c>
      <c r="N47" s="249">
        <f t="shared" ref="N47:O47" si="71">N43/1973.96-1</f>
        <v>6.0740845812478517E-2</v>
      </c>
      <c r="O47" s="249">
        <f t="shared" si="71"/>
        <v>6.3228231575107818E-2</v>
      </c>
      <c r="P47" s="249">
        <f t="shared" ref="P47" si="72">P43/1973.96-1</f>
        <v>4.9580538612737701E-2</v>
      </c>
      <c r="Q47" s="249">
        <f t="shared" ref="Q47" si="73">Q43/1973.96-1</f>
        <v>4.8025289266246718E-2</v>
      </c>
      <c r="R47" s="249">
        <f t="shared" ref="R47:S47" si="74">R43/1973.96-1</f>
        <v>5.4302012198828686E-2</v>
      </c>
      <c r="S47" s="249">
        <f t="shared" si="74"/>
        <v>9.8938175039007925E-2</v>
      </c>
      <c r="T47" s="249">
        <f t="shared" ref="T47:U47" si="75">T43/1973.96-1</f>
        <v>8.0016818983160709E-2</v>
      </c>
      <c r="U47" s="249">
        <f t="shared" si="75"/>
        <v>9.4839814383270271E-2</v>
      </c>
      <c r="V47" s="249">
        <f t="shared" ref="V47:W47" si="76">V43/1973.96-1</f>
        <v>6.6379257938357306E-2</v>
      </c>
      <c r="W47" s="249">
        <f t="shared" si="76"/>
        <v>8.6136497193458617E-2</v>
      </c>
      <c r="X47" s="249">
        <f t="shared" ref="X47:Y47" si="77">X43/1973.96-1</f>
        <v>6.5340736387768716E-2</v>
      </c>
      <c r="Y47" s="249">
        <f t="shared" si="77"/>
        <v>6.8785588360452898E-2</v>
      </c>
    </row>
    <row r="71" spans="2:2" s="250" customFormat="1" x14ac:dyDescent="0.25">
      <c r="B71" s="250" t="s">
        <v>81</v>
      </c>
    </row>
  </sheetData>
  <pageMargins left="0.7" right="0.7" top="0.75" bottom="0.75" header="0.3" footer="0.3"/>
  <pageSetup paperSize="11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Описание метода</vt:lpstr>
      <vt:lpstr>Модельный портфель</vt:lpstr>
      <vt:lpstr>ДДС</vt:lpstr>
      <vt:lpstr>Дивиденды</vt:lpstr>
      <vt:lpstr>История сделок и открытые позиц</vt:lpstr>
      <vt:lpstr>Аналитика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2017-07-31T17:28:13Z</dcterms:created>
  <dcterms:modified xsi:type="dcterms:W3CDTF">2018-09-14T15:57:20Z</dcterms:modified>
</cp:coreProperties>
</file>